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_ROZPOČET\ROZPOČET 2022\2022_Rozpocet\Priprava_rozpoctu\Vyvěšeno\"/>
    </mc:Choice>
  </mc:AlternateContent>
  <bookViews>
    <workbookView xWindow="240" yWindow="135" windowWidth="20115" windowHeight="7230"/>
  </bookViews>
  <sheets>
    <sheet name="Bilance 2022" sheetId="15" r:id="rId1"/>
    <sheet name="Příjmy 2022" sheetId="17" r:id="rId2"/>
    <sheet name="Výdaje 2022 provoz" sheetId="20" r:id="rId3"/>
    <sheet name="Výdaje 2022 investice" sheetId="21" r:id="rId4"/>
    <sheet name="List3" sheetId="3" r:id="rId5"/>
  </sheets>
  <definedNames>
    <definedName name="_xlnm._FilterDatabase" localSheetId="1" hidden="1">'Příjmy 2022'!$A$4:$G$203</definedName>
    <definedName name="_xlnm._FilterDatabase" localSheetId="3" hidden="1">'Výdaje 2022 investice'!$A$4:$G$164</definedName>
    <definedName name="_xlnm._FilterDatabase" localSheetId="2" hidden="1">'Výdaje 2022 provoz'!$A$4:$L$845</definedName>
    <definedName name="částka" localSheetId="3">#REF!</definedName>
    <definedName name="částka" localSheetId="2">#REF!</definedName>
    <definedName name="částka">#REF!</definedName>
    <definedName name="ID" localSheetId="3">#REF!</definedName>
    <definedName name="ID" localSheetId="2">#REF!</definedName>
    <definedName name="ID">#REF!</definedName>
    <definedName name="_xlnm.Print_Titles" localSheetId="1">'Příjmy 2022'!$4:$4</definedName>
    <definedName name="_xlnm.Print_Titles" localSheetId="3">'Výdaje 2022 investice'!$4:$4</definedName>
    <definedName name="_xlnm.Print_Titles" localSheetId="2">'Výdaje 2022 provoz'!$4:$4</definedName>
    <definedName name="Z_018B4521_107F_40D1_BECD_AB7F167EB1B7_.wvu.FilterData" localSheetId="3" hidden="1">'Výdaje 2022 investice'!$A$4:$G$164</definedName>
    <definedName name="Z_018B4521_107F_40D1_BECD_AB7F167EB1B7_.wvu.FilterData" localSheetId="2" hidden="1">'Výdaje 2022 provoz'!$A$4:$L$845</definedName>
    <definedName name="Z_1DF66BAB_930B_4DC2_A3B2_5C585B5CCCF1_.wvu.FilterData" localSheetId="3" hidden="1">'Výdaje 2022 investice'!$A$4:$G$164</definedName>
    <definedName name="Z_1DF66BAB_930B_4DC2_A3B2_5C585B5CCCF1_.wvu.FilterData" localSheetId="2" hidden="1">'Výdaje 2022 provoz'!$A$4:$L$845</definedName>
    <definedName name="Z_43A9BFC1_3992_4AC1_8B58_D37D7D9FC33F_.wvu.FilterData" localSheetId="3" hidden="1">'Výdaje 2022 investice'!$A$4:$G$164</definedName>
    <definedName name="Z_43A9BFC1_3992_4AC1_8B58_D37D7D9FC33F_.wvu.FilterData" localSheetId="2" hidden="1">'Výdaje 2022 provoz'!$A$4:$L$845</definedName>
    <definedName name="Z_77C1E287_4DD7_4485_BB4A_31333556E95B_.wvu.FilterData" localSheetId="3" hidden="1">'Výdaje 2022 investice'!$A$4:$G$164</definedName>
    <definedName name="Z_77C1E287_4DD7_4485_BB4A_31333556E95B_.wvu.FilterData" localSheetId="2" hidden="1">'Výdaje 2022 provoz'!$A$4:$L$845</definedName>
    <definedName name="Z_EBCAB66B_1628_4FA5_9113_43A4EED68EAE_.wvu.FilterData" localSheetId="3" hidden="1">'Výdaje 2022 investice'!$A$4:$G$164</definedName>
    <definedName name="Z_EBCAB66B_1628_4FA5_9113_43A4EED68EAE_.wvu.FilterData" localSheetId="2" hidden="1">'Výdaje 2022 provoz'!$A$4:$L$845</definedName>
  </definedNames>
  <calcPr calcId="152511"/>
</workbook>
</file>

<file path=xl/calcChain.xml><?xml version="1.0" encoding="utf-8"?>
<calcChain xmlns="http://schemas.openxmlformats.org/spreadsheetml/2006/main">
  <c r="L475" i="20" l="1"/>
  <c r="K475" i="20"/>
  <c r="L473" i="20"/>
  <c r="K473" i="20"/>
  <c r="I473" i="20"/>
  <c r="I475" i="20"/>
  <c r="G139" i="21"/>
  <c r="G86" i="21" l="1"/>
  <c r="G14" i="21"/>
  <c r="G210" i="17"/>
  <c r="G222" i="17" l="1"/>
  <c r="G365" i="20" l="1"/>
  <c r="G336" i="20"/>
  <c r="G331" i="20"/>
  <c r="G328" i="20"/>
  <c r="G324" i="20"/>
  <c r="G341" i="20"/>
  <c r="L90" i="17"/>
  <c r="K90" i="17"/>
  <c r="J90" i="17"/>
  <c r="I90" i="17"/>
  <c r="G90" i="17"/>
  <c r="G42" i="20" l="1"/>
  <c r="G223" i="17"/>
  <c r="G228" i="17" s="1"/>
  <c r="G738" i="20"/>
  <c r="G737" i="20"/>
  <c r="G721" i="20"/>
  <c r="G701" i="20"/>
  <c r="G553" i="20"/>
  <c r="G552" i="20"/>
  <c r="G546" i="20"/>
  <c r="G505" i="20"/>
  <c r="G46" i="20"/>
  <c r="G463" i="20"/>
  <c r="G218" i="20"/>
  <c r="G193" i="20"/>
  <c r="G828" i="20"/>
  <c r="G827" i="20"/>
  <c r="G720" i="20"/>
  <c r="G700" i="20"/>
  <c r="G653" i="20"/>
  <c r="G628" i="20"/>
  <c r="G561" i="20"/>
  <c r="G545" i="20"/>
  <c r="G534" i="20"/>
  <c r="G483" i="20"/>
  <c r="G138" i="20"/>
  <c r="G137" i="20"/>
  <c r="G136" i="20"/>
  <c r="G135" i="20"/>
  <c r="G47" i="20"/>
  <c r="J7" i="17" l="1"/>
  <c r="I7" i="17"/>
  <c r="G7" i="21"/>
  <c r="G9" i="21" s="1"/>
  <c r="L157" i="17"/>
  <c r="L159" i="17" s="1"/>
  <c r="K157" i="17"/>
  <c r="K159" i="17" s="1"/>
  <c r="J157" i="17"/>
  <c r="J159" i="17" s="1"/>
  <c r="I157" i="17"/>
  <c r="I159" i="17" s="1"/>
  <c r="G157" i="17"/>
  <c r="G159" i="17" s="1"/>
  <c r="G59" i="20" l="1"/>
  <c r="G66" i="20"/>
  <c r="G59" i="21" l="1"/>
  <c r="G124" i="17"/>
  <c r="L607" i="20"/>
  <c r="K607" i="20"/>
  <c r="J607" i="20"/>
  <c r="I607" i="20"/>
  <c r="G607" i="20"/>
  <c r="G729" i="20"/>
  <c r="G829" i="20"/>
  <c r="G808" i="20" l="1"/>
  <c r="G811" i="20" s="1"/>
  <c r="G236" i="20"/>
  <c r="G90" i="20"/>
  <c r="G82" i="20"/>
  <c r="G94" i="20" s="1"/>
  <c r="G76" i="20"/>
  <c r="G84" i="20"/>
  <c r="G7" i="15"/>
  <c r="G12" i="15"/>
  <c r="G10" i="15"/>
  <c r="G9" i="15"/>
  <c r="G31" i="15" s="1"/>
  <c r="G6" i="15"/>
  <c r="G30" i="15" s="1"/>
  <c r="H7" i="15"/>
  <c r="H12" i="15"/>
  <c r="H10" i="15"/>
  <c r="F10" i="15"/>
  <c r="E9" i="15"/>
  <c r="E10" i="15"/>
  <c r="G162" i="21"/>
  <c r="G164" i="21" s="1"/>
  <c r="G156" i="21"/>
  <c r="G153" i="21"/>
  <c r="G144" i="21"/>
  <c r="G146" i="21" s="1"/>
  <c r="G137" i="21"/>
  <c r="G132" i="21"/>
  <c r="G129" i="21"/>
  <c r="G126" i="21"/>
  <c r="G120" i="21"/>
  <c r="G117" i="21"/>
  <c r="G113" i="21"/>
  <c r="G102" i="21"/>
  <c r="G99" i="21"/>
  <c r="G96" i="21"/>
  <c r="G90" i="21"/>
  <c r="G83" i="21"/>
  <c r="G78" i="21"/>
  <c r="G69" i="21"/>
  <c r="G62" i="21"/>
  <c r="G51" i="21"/>
  <c r="G53" i="21" s="1"/>
  <c r="G31" i="21"/>
  <c r="G33" i="21" s="1"/>
  <c r="G24" i="21"/>
  <c r="G20" i="21"/>
  <c r="G16" i="21"/>
  <c r="L855" i="20"/>
  <c r="K855" i="20"/>
  <c r="J855" i="20"/>
  <c r="I855" i="20"/>
  <c r="G855" i="20"/>
  <c r="L843" i="20"/>
  <c r="L845" i="20" s="1"/>
  <c r="K843" i="20"/>
  <c r="K845" i="20" s="1"/>
  <c r="J843" i="20"/>
  <c r="J845" i="20" s="1"/>
  <c r="I843" i="20"/>
  <c r="I845" i="20" s="1"/>
  <c r="G843" i="20"/>
  <c r="I811" i="20"/>
  <c r="I813" i="20" s="1"/>
  <c r="L810" i="20"/>
  <c r="L811" i="20" s="1"/>
  <c r="L813" i="20" s="1"/>
  <c r="K810" i="20"/>
  <c r="K811" i="20" s="1"/>
  <c r="K813" i="20" s="1"/>
  <c r="J810" i="20"/>
  <c r="J811" i="20" s="1"/>
  <c r="J813" i="20" s="1"/>
  <c r="L796" i="20"/>
  <c r="L798" i="20" s="1"/>
  <c r="K796" i="20"/>
  <c r="K798" i="20" s="1"/>
  <c r="J796" i="20"/>
  <c r="J798" i="20" s="1"/>
  <c r="I796" i="20"/>
  <c r="I798" i="20" s="1"/>
  <c r="G796" i="20"/>
  <c r="I780" i="20"/>
  <c r="I782" i="20" s="1"/>
  <c r="G780" i="20"/>
  <c r="L779" i="20"/>
  <c r="L780" i="20" s="1"/>
  <c r="L782" i="20" s="1"/>
  <c r="K779" i="20"/>
  <c r="K780" i="20" s="1"/>
  <c r="K782" i="20" s="1"/>
  <c r="J779" i="20"/>
  <c r="J780" i="20" s="1"/>
  <c r="J782" i="20" s="1"/>
  <c r="I760" i="20"/>
  <c r="G760" i="20"/>
  <c r="L758" i="20"/>
  <c r="L760" i="20" s="1"/>
  <c r="K758" i="20"/>
  <c r="K760" i="20" s="1"/>
  <c r="J758" i="20"/>
  <c r="J760" i="20" s="1"/>
  <c r="L751" i="20"/>
  <c r="K751" i="20"/>
  <c r="J751" i="20"/>
  <c r="I751" i="20"/>
  <c r="G751" i="20"/>
  <c r="I748" i="20"/>
  <c r="G748" i="20"/>
  <c r="L739" i="20"/>
  <c r="L732" i="20"/>
  <c r="K732" i="20"/>
  <c r="J732" i="20"/>
  <c r="L731" i="20"/>
  <c r="K731" i="20"/>
  <c r="J731" i="20"/>
  <c r="L729" i="20"/>
  <c r="K729" i="20"/>
  <c r="J729" i="20"/>
  <c r="L727" i="20"/>
  <c r="K727" i="20"/>
  <c r="J727" i="20"/>
  <c r="I727" i="20"/>
  <c r="G727" i="20"/>
  <c r="I712" i="20"/>
  <c r="I714" i="20" s="1"/>
  <c r="G712" i="20"/>
  <c r="L711" i="20"/>
  <c r="K711" i="20"/>
  <c r="J711" i="20"/>
  <c r="J712" i="20" s="1"/>
  <c r="J714" i="20" s="1"/>
  <c r="K707" i="20"/>
  <c r="L705" i="20"/>
  <c r="L702" i="20"/>
  <c r="K702" i="20"/>
  <c r="L696" i="20"/>
  <c r="L688" i="20"/>
  <c r="K688" i="20"/>
  <c r="J688" i="20"/>
  <c r="I688" i="20"/>
  <c r="G688" i="20"/>
  <c r="L677" i="20"/>
  <c r="I677" i="20"/>
  <c r="G677" i="20"/>
  <c r="K676" i="20"/>
  <c r="K677" i="20" s="1"/>
  <c r="J676" i="20"/>
  <c r="J677" i="20" s="1"/>
  <c r="L672" i="20"/>
  <c r="K672" i="20"/>
  <c r="J672" i="20"/>
  <c r="I672" i="20"/>
  <c r="G672" i="20"/>
  <c r="L666" i="20"/>
  <c r="K666" i="20"/>
  <c r="J666" i="20"/>
  <c r="I666" i="20"/>
  <c r="G666" i="20"/>
  <c r="L662" i="20"/>
  <c r="K662" i="20"/>
  <c r="J662" i="20"/>
  <c r="I662" i="20"/>
  <c r="G662" i="20"/>
  <c r="L642" i="20"/>
  <c r="K642" i="20"/>
  <c r="I642" i="20"/>
  <c r="G642" i="20"/>
  <c r="J641" i="20"/>
  <c r="J642" i="20" s="1"/>
  <c r="L632" i="20"/>
  <c r="K632" i="20"/>
  <c r="J632" i="20"/>
  <c r="I632" i="20"/>
  <c r="G632" i="20"/>
  <c r="L624" i="20"/>
  <c r="K624" i="20"/>
  <c r="J624" i="20"/>
  <c r="I624" i="20"/>
  <c r="G624" i="20"/>
  <c r="L619" i="20"/>
  <c r="K619" i="20"/>
  <c r="J619" i="20"/>
  <c r="I619" i="20"/>
  <c r="G619" i="20"/>
  <c r="L611" i="20"/>
  <c r="K611" i="20"/>
  <c r="J611" i="20"/>
  <c r="I611" i="20"/>
  <c r="G611" i="20"/>
  <c r="L600" i="20"/>
  <c r="I600" i="20"/>
  <c r="G600" i="20"/>
  <c r="K599" i="20"/>
  <c r="K600" i="20" s="1"/>
  <c r="J599" i="20"/>
  <c r="J600" i="20" s="1"/>
  <c r="I594" i="20"/>
  <c r="G594" i="20"/>
  <c r="L593" i="20"/>
  <c r="L594" i="20" s="1"/>
  <c r="K593" i="20"/>
  <c r="K594" i="20" s="1"/>
  <c r="J593" i="20"/>
  <c r="J594" i="20" s="1"/>
  <c r="L582" i="20"/>
  <c r="J582" i="20"/>
  <c r="I582" i="20"/>
  <c r="G582" i="20"/>
  <c r="K581" i="20"/>
  <c r="K582" i="20" s="1"/>
  <c r="I578" i="20"/>
  <c r="G578" i="20"/>
  <c r="L577" i="20"/>
  <c r="K577" i="20"/>
  <c r="J577" i="20"/>
  <c r="L571" i="20"/>
  <c r="K571" i="20"/>
  <c r="J571" i="20"/>
  <c r="L569" i="20"/>
  <c r="J569" i="20"/>
  <c r="I569" i="20"/>
  <c r="G569" i="20"/>
  <c r="K568" i="20"/>
  <c r="K569" i="20" s="1"/>
  <c r="L565" i="20"/>
  <c r="I565" i="20"/>
  <c r="G565" i="20"/>
  <c r="K564" i="20"/>
  <c r="K565" i="20" s="1"/>
  <c r="J564" i="20"/>
  <c r="J565" i="20" s="1"/>
  <c r="L558" i="20"/>
  <c r="I558" i="20"/>
  <c r="G558" i="20"/>
  <c r="K557" i="20"/>
  <c r="K558" i="20" s="1"/>
  <c r="J557" i="20"/>
  <c r="J558" i="20" s="1"/>
  <c r="L550" i="20"/>
  <c r="I550" i="20"/>
  <c r="G550" i="20"/>
  <c r="K549" i="20"/>
  <c r="K550" i="20" s="1"/>
  <c r="J549" i="20"/>
  <c r="J550" i="20" s="1"/>
  <c r="L539" i="20"/>
  <c r="K539" i="20"/>
  <c r="J539" i="20"/>
  <c r="I539" i="20"/>
  <c r="G539" i="20"/>
  <c r="K528" i="20"/>
  <c r="I528" i="20"/>
  <c r="G528" i="20"/>
  <c r="L527" i="20"/>
  <c r="L528" i="20" s="1"/>
  <c r="J527" i="20"/>
  <c r="J528" i="20" s="1"/>
  <c r="I524" i="20"/>
  <c r="G524" i="20"/>
  <c r="L523" i="20"/>
  <c r="L520" i="20"/>
  <c r="L519" i="20"/>
  <c r="K519" i="20"/>
  <c r="K518" i="20" s="1"/>
  <c r="K524" i="20" s="1"/>
  <c r="J518" i="20"/>
  <c r="J524" i="20" s="1"/>
  <c r="L509" i="20"/>
  <c r="J509" i="20"/>
  <c r="I509" i="20"/>
  <c r="G509" i="20"/>
  <c r="K508" i="20"/>
  <c r="K509" i="20" s="1"/>
  <c r="K500" i="20"/>
  <c r="I500" i="20"/>
  <c r="G500" i="20"/>
  <c r="L499" i="20"/>
  <c r="L500" i="20" s="1"/>
  <c r="J499" i="20"/>
  <c r="J500" i="20" s="1"/>
  <c r="G495" i="20"/>
  <c r="L494" i="20"/>
  <c r="J494" i="20"/>
  <c r="L491" i="20"/>
  <c r="K491" i="20"/>
  <c r="J491" i="20"/>
  <c r="I490" i="20"/>
  <c r="I495" i="20" s="1"/>
  <c r="L488" i="20"/>
  <c r="K488" i="20"/>
  <c r="K490" i="20" s="1"/>
  <c r="K495" i="20" s="1"/>
  <c r="J487" i="20"/>
  <c r="G476" i="20"/>
  <c r="I476" i="20"/>
  <c r="K471" i="20"/>
  <c r="K470" i="20" s="1"/>
  <c r="L470" i="20"/>
  <c r="J469" i="20"/>
  <c r="J470" i="20" s="1"/>
  <c r="L452" i="20"/>
  <c r="J452" i="20"/>
  <c r="I452" i="20"/>
  <c r="G452" i="20"/>
  <c r="K451" i="20"/>
  <c r="K452" i="20" s="1"/>
  <c r="J446" i="20"/>
  <c r="I446" i="20"/>
  <c r="G446" i="20"/>
  <c r="L445" i="20"/>
  <c r="L446" i="20" s="1"/>
  <c r="K445" i="20"/>
  <c r="K446" i="20" s="1"/>
  <c r="G439" i="20"/>
  <c r="L438" i="20"/>
  <c r="K438" i="20"/>
  <c r="J438" i="20"/>
  <c r="L436" i="20"/>
  <c r="K436" i="20"/>
  <c r="J436" i="20"/>
  <c r="I436" i="20"/>
  <c r="I439" i="20" s="1"/>
  <c r="L429" i="20"/>
  <c r="K429" i="20"/>
  <c r="J429" i="20"/>
  <c r="I429" i="20"/>
  <c r="G429" i="20"/>
  <c r="L422" i="20"/>
  <c r="L424" i="20" s="1"/>
  <c r="K422" i="20"/>
  <c r="K424" i="20" s="1"/>
  <c r="I422" i="20"/>
  <c r="I424" i="20" s="1"/>
  <c r="G422" i="20"/>
  <c r="J408" i="20"/>
  <c r="J422" i="20" s="1"/>
  <c r="J424" i="20" s="1"/>
  <c r="L397" i="20"/>
  <c r="K397" i="20"/>
  <c r="I397" i="20"/>
  <c r="G397" i="20"/>
  <c r="J396" i="20"/>
  <c r="J397" i="20" s="1"/>
  <c r="L391" i="20"/>
  <c r="I391" i="20"/>
  <c r="G391" i="20"/>
  <c r="K388" i="20"/>
  <c r="K391" i="20" s="1"/>
  <c r="J388" i="20"/>
  <c r="J391" i="20" s="1"/>
  <c r="K386" i="20"/>
  <c r="J386" i="20"/>
  <c r="I386" i="20"/>
  <c r="G386" i="20"/>
  <c r="L385" i="20"/>
  <c r="L386" i="20" s="1"/>
  <c r="G379" i="20"/>
  <c r="K378" i="20"/>
  <c r="L372" i="20"/>
  <c r="L379" i="20" s="1"/>
  <c r="K372" i="20"/>
  <c r="J372" i="20"/>
  <c r="J379" i="20" s="1"/>
  <c r="I372" i="20"/>
  <c r="I379" i="20" s="1"/>
  <c r="G363" i="20"/>
  <c r="L362" i="20"/>
  <c r="K362" i="20"/>
  <c r="K363" i="20" s="1"/>
  <c r="J362" i="20"/>
  <c r="L356" i="20"/>
  <c r="J356" i="20"/>
  <c r="I356" i="20"/>
  <c r="I363" i="20" s="1"/>
  <c r="G344" i="20"/>
  <c r="L341" i="20"/>
  <c r="L344" i="20" s="1"/>
  <c r="K341" i="20"/>
  <c r="K344" i="20" s="1"/>
  <c r="J341" i="20"/>
  <c r="J344" i="20" s="1"/>
  <c r="I341" i="20"/>
  <c r="I344" i="20" s="1"/>
  <c r="G339" i="20"/>
  <c r="L336" i="20"/>
  <c r="L339" i="20" s="1"/>
  <c r="K336" i="20"/>
  <c r="K339" i="20" s="1"/>
  <c r="J336" i="20"/>
  <c r="J339" i="20" s="1"/>
  <c r="I336" i="20"/>
  <c r="I339" i="20" s="1"/>
  <c r="G334" i="20"/>
  <c r="L331" i="20"/>
  <c r="L333" i="20" s="1"/>
  <c r="K331" i="20"/>
  <c r="J331" i="20"/>
  <c r="I331" i="20"/>
  <c r="L328" i="20"/>
  <c r="K328" i="20"/>
  <c r="J328" i="20"/>
  <c r="I328" i="20"/>
  <c r="L326" i="20"/>
  <c r="K326" i="20"/>
  <c r="J326" i="20"/>
  <c r="I326" i="20"/>
  <c r="L324" i="20"/>
  <c r="K324" i="20"/>
  <c r="J324" i="20"/>
  <c r="I324" i="20"/>
  <c r="K319" i="20"/>
  <c r="K321" i="20" s="1"/>
  <c r="J319" i="20"/>
  <c r="J321" i="20" s="1"/>
  <c r="I319" i="20"/>
  <c r="I321" i="20" s="1"/>
  <c r="G319" i="20"/>
  <c r="L318" i="20"/>
  <c r="L319" i="20" s="1"/>
  <c r="L321" i="20" s="1"/>
  <c r="L303" i="20"/>
  <c r="K303" i="20"/>
  <c r="J303" i="20"/>
  <c r="I303" i="20"/>
  <c r="G303" i="20"/>
  <c r="J298" i="20"/>
  <c r="I298" i="20"/>
  <c r="G298" i="20"/>
  <c r="L297" i="20"/>
  <c r="L298" i="20" s="1"/>
  <c r="K297" i="20"/>
  <c r="K298" i="20" s="1"/>
  <c r="L283" i="20"/>
  <c r="L285" i="20" s="1"/>
  <c r="K283" i="20"/>
  <c r="K285" i="20" s="1"/>
  <c r="J283" i="20"/>
  <c r="J285" i="20" s="1"/>
  <c r="I283" i="20"/>
  <c r="I285" i="20" s="1"/>
  <c r="G283" i="20"/>
  <c r="L268" i="20"/>
  <c r="K268" i="20"/>
  <c r="J268" i="20"/>
  <c r="I268" i="20"/>
  <c r="G268" i="20"/>
  <c r="K253" i="20"/>
  <c r="J253" i="20"/>
  <c r="I253" i="20"/>
  <c r="G253" i="20"/>
  <c r="L252" i="20"/>
  <c r="L253" i="20" s="1"/>
  <c r="K241" i="20"/>
  <c r="J241" i="20"/>
  <c r="I241" i="20"/>
  <c r="G241" i="20"/>
  <c r="L240" i="20"/>
  <c r="L241" i="20" s="1"/>
  <c r="J230" i="20"/>
  <c r="I230" i="20"/>
  <c r="G230" i="20"/>
  <c r="L229" i="20"/>
  <c r="L230" i="20" s="1"/>
  <c r="K229" i="20"/>
  <c r="K230" i="20" s="1"/>
  <c r="L206" i="20"/>
  <c r="K206" i="20"/>
  <c r="J206" i="20"/>
  <c r="I206" i="20"/>
  <c r="G206" i="20"/>
  <c r="I179" i="20"/>
  <c r="G179" i="20"/>
  <c r="L178" i="20"/>
  <c r="K178" i="20"/>
  <c r="L177" i="20"/>
  <c r="J177" i="20"/>
  <c r="L176" i="20"/>
  <c r="K176" i="20"/>
  <c r="J176" i="20"/>
  <c r="L175" i="20"/>
  <c r="L174" i="20"/>
  <c r="K174" i="20"/>
  <c r="J174" i="20"/>
  <c r="L173" i="20"/>
  <c r="J173" i="20"/>
  <c r="L172" i="20"/>
  <c r="L171" i="20"/>
  <c r="K171" i="20"/>
  <c r="L170" i="20"/>
  <c r="K170" i="20"/>
  <c r="J170" i="20"/>
  <c r="L169" i="20"/>
  <c r="K169" i="20"/>
  <c r="J169" i="20"/>
  <c r="L168" i="20"/>
  <c r="L167" i="20"/>
  <c r="K167" i="20"/>
  <c r="J167" i="20"/>
  <c r="L165" i="20"/>
  <c r="K165" i="20"/>
  <c r="J165" i="20"/>
  <c r="I165" i="20"/>
  <c r="G165" i="20"/>
  <c r="I157" i="20"/>
  <c r="G157" i="20"/>
  <c r="L156" i="20"/>
  <c r="L152" i="20"/>
  <c r="K152" i="20"/>
  <c r="J152" i="20"/>
  <c r="L149" i="20"/>
  <c r="K149" i="20"/>
  <c r="J149" i="20"/>
  <c r="L144" i="20"/>
  <c r="K144" i="20"/>
  <c r="J144" i="20"/>
  <c r="K142" i="20"/>
  <c r="J142" i="20"/>
  <c r="L139" i="20"/>
  <c r="K139" i="20"/>
  <c r="J139" i="20"/>
  <c r="K138" i="20"/>
  <c r="J137" i="20"/>
  <c r="K136" i="20"/>
  <c r="J135" i="20"/>
  <c r="K121" i="20"/>
  <c r="J118" i="20"/>
  <c r="L116" i="20"/>
  <c r="K116" i="20"/>
  <c r="J116" i="20"/>
  <c r="I116" i="20"/>
  <c r="G116" i="20"/>
  <c r="L98" i="20"/>
  <c r="K98" i="20"/>
  <c r="J98" i="20"/>
  <c r="I98" i="20"/>
  <c r="G98" i="20"/>
  <c r="I94" i="20"/>
  <c r="L93" i="20"/>
  <c r="K93" i="20"/>
  <c r="J93" i="20"/>
  <c r="L84" i="20"/>
  <c r="K84" i="20"/>
  <c r="J84" i="20"/>
  <c r="L73" i="20"/>
  <c r="I73" i="20"/>
  <c r="G73" i="20"/>
  <c r="K72" i="20"/>
  <c r="K73" i="20" s="1"/>
  <c r="J72" i="20"/>
  <c r="J73" i="20" s="1"/>
  <c r="L64" i="20"/>
  <c r="L66" i="20" s="1"/>
  <c r="K64" i="20"/>
  <c r="K66" i="20" s="1"/>
  <c r="J64" i="20"/>
  <c r="J66" i="20" s="1"/>
  <c r="I64" i="20"/>
  <c r="I66" i="20" s="1"/>
  <c r="I59" i="20"/>
  <c r="L58" i="20"/>
  <c r="K58" i="20"/>
  <c r="L55" i="20"/>
  <c r="K55" i="20"/>
  <c r="J55" i="20"/>
  <c r="J59" i="20" s="1"/>
  <c r="L39" i="20"/>
  <c r="K39" i="20"/>
  <c r="J39" i="20"/>
  <c r="I39" i="20"/>
  <c r="G39" i="20"/>
  <c r="L31" i="20"/>
  <c r="K31" i="20"/>
  <c r="J31" i="20"/>
  <c r="I31" i="20"/>
  <c r="G31" i="20"/>
  <c r="L26" i="20"/>
  <c r="K26" i="20"/>
  <c r="J26" i="20"/>
  <c r="I26" i="20"/>
  <c r="G26" i="20"/>
  <c r="J20" i="20"/>
  <c r="I20" i="20"/>
  <c r="G20" i="20"/>
  <c r="L19" i="20"/>
  <c r="L20" i="20" s="1"/>
  <c r="K19" i="20"/>
  <c r="K20" i="20" s="1"/>
  <c r="G122" i="21" l="1"/>
  <c r="G26" i="21"/>
  <c r="K334" i="20"/>
  <c r="G813" i="20"/>
  <c r="G321" i="20"/>
  <c r="G285" i="20"/>
  <c r="G424" i="20"/>
  <c r="G714" i="20"/>
  <c r="G798" i="20"/>
  <c r="G845" i="20"/>
  <c r="G782" i="20"/>
  <c r="K690" i="20"/>
  <c r="I690" i="20"/>
  <c r="J334" i="20"/>
  <c r="K439" i="20"/>
  <c r="J690" i="20"/>
  <c r="G690" i="20"/>
  <c r="L690" i="20"/>
  <c r="K305" i="20"/>
  <c r="D16" i="15"/>
  <c r="L334" i="20"/>
  <c r="J94" i="20"/>
  <c r="J100" i="20" s="1"/>
  <c r="J305" i="20"/>
  <c r="K59" i="20"/>
  <c r="L578" i="20"/>
  <c r="I602" i="20"/>
  <c r="G305" i="20"/>
  <c r="L305" i="20"/>
  <c r="I305" i="20"/>
  <c r="G602" i="20"/>
  <c r="I100" i="20"/>
  <c r="J270" i="20"/>
  <c r="G13" i="15"/>
  <c r="G158" i="21"/>
  <c r="L363" i="20"/>
  <c r="J439" i="20"/>
  <c r="G100" i="20"/>
  <c r="K712" i="20"/>
  <c r="K714" i="20" s="1"/>
  <c r="L94" i="20"/>
  <c r="L439" i="20"/>
  <c r="L518" i="20"/>
  <c r="L524" i="20" s="1"/>
  <c r="L712" i="20"/>
  <c r="L714" i="20" s="1"/>
  <c r="K578" i="20"/>
  <c r="J578" i="20"/>
  <c r="K379" i="20"/>
  <c r="L748" i="20"/>
  <c r="L762" i="20" s="1"/>
  <c r="L179" i="20"/>
  <c r="L181" i="20" s="1"/>
  <c r="K94" i="20"/>
  <c r="J490" i="20"/>
  <c r="J495" i="20" s="1"/>
  <c r="J748" i="20"/>
  <c r="J762" i="20" s="1"/>
  <c r="I334" i="20"/>
  <c r="I399" i="20" s="1"/>
  <c r="L59" i="20"/>
  <c r="K748" i="20"/>
  <c r="K762" i="20" s="1"/>
  <c r="K179" i="20"/>
  <c r="K181" i="20" s="1"/>
  <c r="J179" i="20"/>
  <c r="J181" i="20" s="1"/>
  <c r="J363" i="20"/>
  <c r="L490" i="20"/>
  <c r="L495" i="20" s="1"/>
  <c r="G181" i="20"/>
  <c r="L157" i="20"/>
  <c r="L159" i="20" s="1"/>
  <c r="G270" i="20"/>
  <c r="L270" i="20"/>
  <c r="K476" i="20"/>
  <c r="G762" i="20"/>
  <c r="J157" i="20"/>
  <c r="J159" i="20" s="1"/>
  <c r="I243" i="20"/>
  <c r="G243" i="20"/>
  <c r="I181" i="20"/>
  <c r="I270" i="20"/>
  <c r="G399" i="20"/>
  <c r="J476" i="20"/>
  <c r="I762" i="20"/>
  <c r="I159" i="20"/>
  <c r="K157" i="20"/>
  <c r="K159" i="20" s="1"/>
  <c r="G159" i="20"/>
  <c r="L243" i="20"/>
  <c r="J243" i="20"/>
  <c r="K270" i="20"/>
  <c r="L476" i="20"/>
  <c r="K243" i="20"/>
  <c r="D26" i="15"/>
  <c r="D25" i="15"/>
  <c r="L212" i="17"/>
  <c r="K212" i="17"/>
  <c r="J212" i="17"/>
  <c r="I212" i="17"/>
  <c r="G212" i="17"/>
  <c r="L201" i="17"/>
  <c r="K201" i="17"/>
  <c r="J201" i="17"/>
  <c r="I201" i="17"/>
  <c r="G201" i="17"/>
  <c r="L197" i="17"/>
  <c r="K197" i="17"/>
  <c r="J197" i="17"/>
  <c r="I197" i="17"/>
  <c r="G197" i="17"/>
  <c r="L191" i="17"/>
  <c r="K191" i="17"/>
  <c r="J191" i="17"/>
  <c r="I191" i="17"/>
  <c r="G191" i="17"/>
  <c r="L188" i="17"/>
  <c r="K188" i="17"/>
  <c r="J188" i="17"/>
  <c r="I188" i="17"/>
  <c r="G188" i="17"/>
  <c r="L184" i="17"/>
  <c r="K184" i="17"/>
  <c r="J184" i="17"/>
  <c r="I184" i="17"/>
  <c r="G184" i="17"/>
  <c r="L178" i="17"/>
  <c r="K178" i="17"/>
  <c r="J178" i="17"/>
  <c r="I178" i="17"/>
  <c r="G178" i="17"/>
  <c r="L175" i="17"/>
  <c r="K175" i="17"/>
  <c r="J175" i="17"/>
  <c r="I175" i="17"/>
  <c r="G175" i="17"/>
  <c r="L169" i="17"/>
  <c r="K169" i="17"/>
  <c r="J169" i="17"/>
  <c r="I169" i="17"/>
  <c r="G169" i="17"/>
  <c r="L165" i="17"/>
  <c r="K165" i="17"/>
  <c r="J165" i="17"/>
  <c r="I165" i="17"/>
  <c r="G165" i="17"/>
  <c r="L151" i="17"/>
  <c r="K151" i="17"/>
  <c r="J151" i="17"/>
  <c r="I151" i="17"/>
  <c r="G151" i="17"/>
  <c r="L147" i="17"/>
  <c r="K147" i="17"/>
  <c r="J147" i="17"/>
  <c r="I147" i="17"/>
  <c r="G147" i="17"/>
  <c r="L144" i="17"/>
  <c r="K144" i="17"/>
  <c r="J144" i="17"/>
  <c r="I144" i="17"/>
  <c r="G144" i="17"/>
  <c r="L141" i="17"/>
  <c r="K141" i="17"/>
  <c r="J141" i="17"/>
  <c r="I141" i="17"/>
  <c r="G141" i="17"/>
  <c r="L135" i="17"/>
  <c r="K135" i="17"/>
  <c r="J135" i="17"/>
  <c r="I135" i="17"/>
  <c r="G135" i="17"/>
  <c r="L131" i="17"/>
  <c r="K131" i="17"/>
  <c r="J131" i="17"/>
  <c r="I131" i="17"/>
  <c r="G131" i="17"/>
  <c r="L126" i="17"/>
  <c r="K126" i="17"/>
  <c r="J126" i="17"/>
  <c r="I126" i="17"/>
  <c r="G126" i="17"/>
  <c r="L121" i="17"/>
  <c r="K121" i="17"/>
  <c r="J121" i="17"/>
  <c r="I121" i="17"/>
  <c r="G121" i="17"/>
  <c r="L118" i="17"/>
  <c r="K118" i="17"/>
  <c r="J118" i="17"/>
  <c r="I118" i="17"/>
  <c r="G118" i="17"/>
  <c r="L114" i="17"/>
  <c r="K114" i="17"/>
  <c r="J114" i="17"/>
  <c r="I114" i="17"/>
  <c r="G114" i="17"/>
  <c r="L109" i="17"/>
  <c r="K109" i="17"/>
  <c r="J109" i="17"/>
  <c r="I109" i="17"/>
  <c r="G109" i="17"/>
  <c r="L105" i="17"/>
  <c r="K105" i="17"/>
  <c r="J105" i="17"/>
  <c r="I105" i="17"/>
  <c r="G105" i="17"/>
  <c r="L102" i="17"/>
  <c r="K102" i="17"/>
  <c r="J102" i="17"/>
  <c r="I102" i="17"/>
  <c r="G102" i="17"/>
  <c r="L96" i="17"/>
  <c r="K96" i="17"/>
  <c r="J96" i="17"/>
  <c r="I96" i="17"/>
  <c r="G96" i="17"/>
  <c r="L93" i="17"/>
  <c r="K93" i="17"/>
  <c r="J93" i="17"/>
  <c r="I93" i="17"/>
  <c r="G93" i="17"/>
  <c r="L86" i="17"/>
  <c r="K86" i="17"/>
  <c r="J86" i="17"/>
  <c r="I86" i="17"/>
  <c r="G86" i="17"/>
  <c r="L69" i="17"/>
  <c r="K69" i="17"/>
  <c r="J69" i="17"/>
  <c r="I69" i="17"/>
  <c r="G69" i="17"/>
  <c r="L66" i="17"/>
  <c r="K66" i="17"/>
  <c r="K71" i="17" s="1"/>
  <c r="J66" i="17"/>
  <c r="I66" i="17"/>
  <c r="G66" i="17"/>
  <c r="L59" i="17"/>
  <c r="K59" i="17"/>
  <c r="J59" i="17"/>
  <c r="I59" i="17"/>
  <c r="G59" i="17"/>
  <c r="L56" i="17"/>
  <c r="K56" i="17"/>
  <c r="J56" i="17"/>
  <c r="I56" i="17"/>
  <c r="G56" i="17"/>
  <c r="L50" i="17"/>
  <c r="K50" i="17"/>
  <c r="J50" i="17"/>
  <c r="I50" i="17"/>
  <c r="G50" i="17"/>
  <c r="L47" i="17"/>
  <c r="K47" i="17"/>
  <c r="J47" i="17"/>
  <c r="I47" i="17"/>
  <c r="G47" i="17"/>
  <c r="L43" i="17"/>
  <c r="K43" i="17"/>
  <c r="J43" i="17"/>
  <c r="I43" i="17"/>
  <c r="G43" i="17"/>
  <c r="L37" i="17"/>
  <c r="L39" i="17" s="1"/>
  <c r="K37" i="17"/>
  <c r="K39" i="17" s="1"/>
  <c r="J37" i="17"/>
  <c r="J39" i="17" s="1"/>
  <c r="I37" i="17"/>
  <c r="I39" i="17" s="1"/>
  <c r="G37" i="17"/>
  <c r="G39" i="17" s="1"/>
  <c r="L30" i="17"/>
  <c r="L32" i="17" s="1"/>
  <c r="K30" i="17"/>
  <c r="K32" i="17" s="1"/>
  <c r="J30" i="17"/>
  <c r="J32" i="17" s="1"/>
  <c r="I30" i="17"/>
  <c r="I32" i="17" s="1"/>
  <c r="G30" i="17"/>
  <c r="G32" i="17" s="1"/>
  <c r="L24" i="17"/>
  <c r="K24" i="17"/>
  <c r="J24" i="17"/>
  <c r="I24" i="17"/>
  <c r="G24" i="17"/>
  <c r="L20" i="17"/>
  <c r="K20" i="17"/>
  <c r="J20" i="17"/>
  <c r="I20" i="17"/>
  <c r="G20" i="17"/>
  <c r="L17" i="17"/>
  <c r="K17" i="17"/>
  <c r="J17" i="17"/>
  <c r="I17" i="17"/>
  <c r="G17" i="17"/>
  <c r="L14" i="17"/>
  <c r="K14" i="17"/>
  <c r="J14" i="17"/>
  <c r="I14" i="17"/>
  <c r="G14" i="17"/>
  <c r="J9" i="17"/>
  <c r="I9" i="17"/>
  <c r="L7" i="17"/>
  <c r="L9" i="17" s="1"/>
  <c r="K7" i="17"/>
  <c r="K9" i="17" s="1"/>
  <c r="G7" i="17"/>
  <c r="G9" i="17" s="1"/>
  <c r="G61" i="17" l="1"/>
  <c r="L61" i="17"/>
  <c r="J203" i="17"/>
  <c r="G180" i="17"/>
  <c r="L180" i="17"/>
  <c r="K193" i="17"/>
  <c r="K171" i="17"/>
  <c r="K52" i="17"/>
  <c r="G171" i="17"/>
  <c r="L171" i="17"/>
  <c r="K399" i="20"/>
  <c r="L399" i="20"/>
  <c r="J399" i="20"/>
  <c r="G166" i="21"/>
  <c r="I171" i="17"/>
  <c r="J61" i="17"/>
  <c r="I61" i="17"/>
  <c r="K61" i="17"/>
  <c r="I98" i="17"/>
  <c r="K98" i="17"/>
  <c r="K153" i="17"/>
  <c r="I153" i="17"/>
  <c r="K180" i="17"/>
  <c r="I180" i="17"/>
  <c r="I203" i="17"/>
  <c r="K203" i="17"/>
  <c r="L98" i="17"/>
  <c r="L137" i="17"/>
  <c r="G153" i="17"/>
  <c r="J26" i="17"/>
  <c r="G26" i="17"/>
  <c r="L26" i="17"/>
  <c r="J52" i="17"/>
  <c r="G52" i="17"/>
  <c r="L52" i="17"/>
  <c r="J71" i="17"/>
  <c r="G71" i="17"/>
  <c r="L71" i="17"/>
  <c r="G137" i="17"/>
  <c r="J137" i="17"/>
  <c r="J153" i="17"/>
  <c r="J171" i="17"/>
  <c r="J180" i="17"/>
  <c r="G193" i="17"/>
  <c r="L193" i="17"/>
  <c r="G203" i="17"/>
  <c r="L203" i="17"/>
  <c r="G98" i="17"/>
  <c r="J98" i="17"/>
  <c r="L153" i="17"/>
  <c r="J193" i="17"/>
  <c r="K26" i="17"/>
  <c r="I26" i="17"/>
  <c r="I52" i="17"/>
  <c r="I71" i="17"/>
  <c r="I137" i="17"/>
  <c r="K137" i="17"/>
  <c r="I193" i="17"/>
  <c r="L100" i="20"/>
  <c r="K100" i="20"/>
  <c r="J602" i="20"/>
  <c r="K602" i="20"/>
  <c r="L602" i="20"/>
  <c r="G847" i="20"/>
  <c r="I847" i="20"/>
  <c r="I859" i="20" s="1"/>
  <c r="I865" i="20" s="1"/>
  <c r="G205" i="17" l="1"/>
  <c r="D9" i="15" s="1"/>
  <c r="J847" i="20"/>
  <c r="J859" i="20" s="1"/>
  <c r="J865" i="20" s="1"/>
  <c r="K205" i="17"/>
  <c r="K216" i="17" s="1"/>
  <c r="L205" i="17"/>
  <c r="L216" i="17" s="1"/>
  <c r="L847" i="20"/>
  <c r="L859" i="20" s="1"/>
  <c r="L865" i="20" s="1"/>
  <c r="J205" i="17"/>
  <c r="J216" i="17" s="1"/>
  <c r="I205" i="17"/>
  <c r="I216" i="17" s="1"/>
  <c r="K847" i="20"/>
  <c r="K859" i="20" s="1"/>
  <c r="K865" i="20" s="1"/>
  <c r="D8" i="15"/>
  <c r="G859" i="20"/>
  <c r="G865" i="20" s="1"/>
  <c r="D7" i="15"/>
  <c r="G216" i="17" l="1"/>
  <c r="I7" i="15" l="1"/>
  <c r="E24" i="15"/>
  <c r="I12" i="15"/>
  <c r="I10" i="15"/>
  <c r="I9" i="15"/>
  <c r="I24" i="15" l="1"/>
  <c r="H24" i="15"/>
  <c r="F24" i="15"/>
  <c r="J15" i="15"/>
  <c r="H9" i="15"/>
  <c r="F9" i="15"/>
  <c r="H6" i="15"/>
  <c r="H30" i="15" s="1"/>
  <c r="F6" i="15"/>
  <c r="F30" i="15" s="1"/>
  <c r="H31" i="15" l="1"/>
  <c r="H33" i="15"/>
  <c r="H34" i="15" s="1"/>
  <c r="H13" i="15"/>
  <c r="F31" i="15"/>
  <c r="F33" i="15" s="1"/>
  <c r="F34" i="15" s="1"/>
  <c r="F13" i="15"/>
  <c r="E6" i="15"/>
  <c r="D24" i="15"/>
  <c r="J24" i="15" s="1"/>
  <c r="I6" i="15"/>
  <c r="I30" i="15" s="1"/>
  <c r="I31" i="15"/>
  <c r="E31" i="15"/>
  <c r="E30" i="15" l="1"/>
  <c r="E33" i="15" s="1"/>
  <c r="E34" i="15" s="1"/>
  <c r="E13" i="15"/>
  <c r="J16" i="15"/>
  <c r="I33" i="15"/>
  <c r="I34" i="15" s="1"/>
  <c r="I13" i="15"/>
  <c r="D6" i="15" l="1"/>
  <c r="D30" i="15" s="1"/>
  <c r="J9" i="15" l="1"/>
  <c r="D31" i="15"/>
  <c r="J31" i="15" s="1"/>
  <c r="D13" i="15"/>
  <c r="J6" i="15"/>
  <c r="J30" i="15"/>
  <c r="D33" i="15" l="1"/>
  <c r="D34" i="15" s="1"/>
</calcChain>
</file>

<file path=xl/comments1.xml><?xml version="1.0" encoding="utf-8"?>
<comments xmlns="http://schemas.openxmlformats.org/spreadsheetml/2006/main">
  <authors>
    <author>msnoblov</author>
  </authors>
  <commentList>
    <comment ref="E15" authorId="0" shapeId="0">
      <text>
        <r>
          <rPr>
            <b/>
            <sz val="9"/>
            <color indexed="81"/>
            <rFont val="Tahoma"/>
            <charset val="1"/>
          </rPr>
          <t>msnoblov:</t>
        </r>
        <r>
          <rPr>
            <sz val="9"/>
            <color indexed="81"/>
            <rFont val="Tahoma"/>
            <charset val="1"/>
          </rPr>
          <t xml:space="preserve">
kontokorent</t>
        </r>
      </text>
    </comment>
  </commentList>
</comments>
</file>

<file path=xl/comments2.xml><?xml version="1.0" encoding="utf-8"?>
<comments xmlns="http://schemas.openxmlformats.org/spreadsheetml/2006/main">
  <authors>
    <author>msnoblov</author>
  </authors>
  <commentList>
    <comment ref="F226" authorId="0" shapeId="0">
      <text>
        <r>
          <rPr>
            <b/>
            <sz val="9"/>
            <color indexed="81"/>
            <rFont val="Tahoma"/>
            <charset val="1"/>
          </rPr>
          <t>msnoblov:</t>
        </r>
        <r>
          <rPr>
            <sz val="9"/>
            <color indexed="81"/>
            <rFont val="Tahoma"/>
            <charset val="1"/>
          </rPr>
          <t xml:space="preserve">
po započítání 500 tis. odvodu MŠ Karlická na chodníky</t>
        </r>
      </text>
    </comment>
  </commentList>
</comments>
</file>

<file path=xl/sharedStrings.xml><?xml version="1.0" encoding="utf-8"?>
<sst xmlns="http://schemas.openxmlformats.org/spreadsheetml/2006/main" count="1796" uniqueCount="679">
  <si>
    <t>ORJ</t>
  </si>
  <si>
    <t>Název akce</t>
  </si>
  <si>
    <t>OdPa</t>
  </si>
  <si>
    <t>Pol</t>
  </si>
  <si>
    <t>Akce</t>
  </si>
  <si>
    <t>Popis položky z finančního profilu</t>
  </si>
  <si>
    <t>Knihovna - provozní výdaje</t>
  </si>
  <si>
    <t>Ostatní osobní výdaje - dohody</t>
  </si>
  <si>
    <t>Knihy, tisk</t>
  </si>
  <si>
    <t>Nákup materiálu</t>
  </si>
  <si>
    <t>Elektrická energie</t>
  </si>
  <si>
    <t>meziknihovní výpůjčky</t>
  </si>
  <si>
    <t>Nákup ostatních služeb</t>
  </si>
  <si>
    <t>Opravy a udržování</t>
  </si>
  <si>
    <t>Cestovné</t>
  </si>
  <si>
    <t>Pohoštění</t>
  </si>
  <si>
    <t>odměny v soutěžích</t>
  </si>
  <si>
    <t>Celkem za OdPa</t>
  </si>
  <si>
    <t>Kronika - provozní výdaje</t>
  </si>
  <si>
    <t>dohody - kronikářka</t>
  </si>
  <si>
    <t>ostatní služby</t>
  </si>
  <si>
    <t>Kulturní památky - provozní výdaje</t>
  </si>
  <si>
    <t>alarm kostela</t>
  </si>
  <si>
    <t>IL - provozní výdaje</t>
  </si>
  <si>
    <t>roznos IL</t>
  </si>
  <si>
    <t>tisk IL</t>
  </si>
  <si>
    <t>telekomunikace (editorka)</t>
  </si>
  <si>
    <t>Nákup ostatních služeb - editorka, grafika</t>
  </si>
  <si>
    <t>pohoštění</t>
  </si>
  <si>
    <t>rezerva</t>
  </si>
  <si>
    <t>Kultura - provozní výdaje</t>
  </si>
  <si>
    <t>Ostatní osobní výdaje - dohody (vč. vylepovače plakátů)</t>
  </si>
  <si>
    <t>hororáře, OSA</t>
  </si>
  <si>
    <t>ochranné pomůcky</t>
  </si>
  <si>
    <t>DDHM</t>
  </si>
  <si>
    <t>plyn (hasičárna Černošice)</t>
  </si>
  <si>
    <t>Pohoštění - koncerty, partnerská, města, spolky...</t>
  </si>
  <si>
    <t>Věcné dary (vítání občánků)</t>
  </si>
  <si>
    <t>granty v kultuře</t>
  </si>
  <si>
    <t>královský průvod</t>
  </si>
  <si>
    <t>Zájmový fond rady</t>
  </si>
  <si>
    <t>Mládež - provozní výdaje - granty</t>
  </si>
  <si>
    <t>granty po mládež</t>
  </si>
  <si>
    <t>SK Černošice - příspěvek na stadion</t>
  </si>
  <si>
    <t>SK Černošice - veřejné bruslení</t>
  </si>
  <si>
    <t>Sokol - příspěvek</t>
  </si>
  <si>
    <t>Krizové řízení - provozní výdaje</t>
  </si>
  <si>
    <t>Ochranné pomůcky</t>
  </si>
  <si>
    <t>Krizové řízení - rezerva</t>
  </si>
  <si>
    <t>Krizová rezerva</t>
  </si>
  <si>
    <t>OVM - provozní výdaje</t>
  </si>
  <si>
    <t>platy</t>
  </si>
  <si>
    <t>OON - dohody</t>
  </si>
  <si>
    <t>pojistné za soc. zabezpečení</t>
  </si>
  <si>
    <t>pojistné na zdrav. pojištění</t>
  </si>
  <si>
    <t>knihy, tisk</t>
  </si>
  <si>
    <t>materiál</t>
  </si>
  <si>
    <t>školení - průběžné</t>
  </si>
  <si>
    <t>OVM - běžné výdaje - ZOZ a VVÚ</t>
  </si>
  <si>
    <t>školení ZOZ a VVÚ - celý úřad</t>
  </si>
  <si>
    <t>cestovné</t>
  </si>
  <si>
    <t>poplatky za konference</t>
  </si>
  <si>
    <t>členské příspěvky (sdružení tajemníků)</t>
  </si>
  <si>
    <t>odvod za porušení povinnosti zaměstanávat zdravotně postižené</t>
  </si>
  <si>
    <t>rezerva úřadu</t>
  </si>
  <si>
    <t>Celkem za ORJ 0000000100</t>
  </si>
  <si>
    <t>OVV - běžné výdaje</t>
  </si>
  <si>
    <t>OON - dohody (brigádníci)</t>
  </si>
  <si>
    <t>sociální pojiíštění</t>
  </si>
  <si>
    <t>zdravotní pojištění</t>
  </si>
  <si>
    <t>poplatky OSA (Podskalská)</t>
  </si>
  <si>
    <t>ochranné pomůcky pro spisovnu</t>
  </si>
  <si>
    <t>materiál (kancelářské a hygienické potřeby)</t>
  </si>
  <si>
    <t>voda Podskalská</t>
  </si>
  <si>
    <t>plyn Podskalská</t>
  </si>
  <si>
    <t>plyn Černošice</t>
  </si>
  <si>
    <t>elektrická energie Podskalská</t>
  </si>
  <si>
    <t>elektrická energie Černošice</t>
  </si>
  <si>
    <t>PHM nerozdělené</t>
  </si>
  <si>
    <t>PHM samospráva</t>
  </si>
  <si>
    <t>PHM státní správa</t>
  </si>
  <si>
    <t>poštovné</t>
  </si>
  <si>
    <t>telekomunikace (pevné linky, bez OSPOD, PP a OSPOD projektu)</t>
  </si>
  <si>
    <t>telekomunikace - mobily (nerozdělené)</t>
  </si>
  <si>
    <t>telekomunikace - mobily (samospráva)</t>
  </si>
  <si>
    <t>telekomunikace - mobily (státní správa)</t>
  </si>
  <si>
    <t>nájem (areál Mokropsy)</t>
  </si>
  <si>
    <t>školení</t>
  </si>
  <si>
    <t>datové služby (frankovací stroje)</t>
  </si>
  <si>
    <t>ostatní služby (malování, koberce, TV, rozhlas...)</t>
  </si>
  <si>
    <t>ostatní služby (Černošice)</t>
  </si>
  <si>
    <t>služby MPSV (budova Podskalská)</t>
  </si>
  <si>
    <t>opravy a udržování (nerozděleno)</t>
  </si>
  <si>
    <t>opravy a udržování (samospráva)</t>
  </si>
  <si>
    <t>opravy a udržování (státní správa)</t>
  </si>
  <si>
    <t>dálniční známky</t>
  </si>
  <si>
    <t>Celkem za ORJ 0000000200</t>
  </si>
  <si>
    <t>OSVZ - provozní výdaje</t>
  </si>
  <si>
    <t>OON - dohody mimo prac. poměr</t>
  </si>
  <si>
    <t>pojistné na soc. zabezpečení</t>
  </si>
  <si>
    <t>Celkem za ORJ 0000000300</t>
  </si>
  <si>
    <t>Pěstounská péče - provozní výdaje</t>
  </si>
  <si>
    <t>voda</t>
  </si>
  <si>
    <t>teplo</t>
  </si>
  <si>
    <t>el. energie</t>
  </si>
  <si>
    <t>PHM</t>
  </si>
  <si>
    <t>telekomunikace</t>
  </si>
  <si>
    <t>nájemné</t>
  </si>
  <si>
    <t>opravy a údržba</t>
  </si>
  <si>
    <t>programové vybavení</t>
  </si>
  <si>
    <t>služby pěstounům (školení, kurzy, tábory...)</t>
  </si>
  <si>
    <t>OSPOD - provozní výdaje</t>
  </si>
  <si>
    <t>sociální zabezpečení</t>
  </si>
  <si>
    <t>voda (Václavská)</t>
  </si>
  <si>
    <t>teplo (Václavská)</t>
  </si>
  <si>
    <t>el. energie (Václavská)</t>
  </si>
  <si>
    <t>nájemné (Václavská)</t>
  </si>
  <si>
    <t>školení - ÚZ 2</t>
  </si>
  <si>
    <t>opravy a udržování</t>
  </si>
  <si>
    <t>věcné dary - z dotace</t>
  </si>
  <si>
    <t>kolky</t>
  </si>
  <si>
    <t>dálniční známky (3x)</t>
  </si>
  <si>
    <t>Celkem za ORJ 0000000320</t>
  </si>
  <si>
    <t>Územní plán - provozní výdaje</t>
  </si>
  <si>
    <t>OÚP - provozní výdaje</t>
  </si>
  <si>
    <t>Platy</t>
  </si>
  <si>
    <t>soc. zabezpečení</t>
  </si>
  <si>
    <t>zdrav. pojištění</t>
  </si>
  <si>
    <t>materiál (tisk plánů)</t>
  </si>
  <si>
    <t>konz. a právní služby</t>
  </si>
  <si>
    <t>Celkem za ORJ 0000000400</t>
  </si>
  <si>
    <t>OŽÚ - provozní výdaje</t>
  </si>
  <si>
    <t>kontrolní nákupy</t>
  </si>
  <si>
    <t>Celkem za ORJ 0000000500</t>
  </si>
  <si>
    <t>OŽP - provozní výdaje</t>
  </si>
  <si>
    <t>soc. pojištění</t>
  </si>
  <si>
    <t>unifomy pro SSL a myslivost</t>
  </si>
  <si>
    <t>materiál - rybářské a lovecké lístky, plomby</t>
  </si>
  <si>
    <t>ekologická rezerva</t>
  </si>
  <si>
    <t>Celkem za ORJ 0000000600</t>
  </si>
  <si>
    <t>SO - běžné výdaje</t>
  </si>
  <si>
    <t>Celkem za ORJ 0000000700</t>
  </si>
  <si>
    <t>Hala Věry Čáslavské - provozní výdaje</t>
  </si>
  <si>
    <t>pojistné na sociální zabezpečení</t>
  </si>
  <si>
    <t>Splácení úvěru - radnice</t>
  </si>
  <si>
    <t>Splácení úvěru - sportovní hala</t>
  </si>
  <si>
    <t>Splácení úvěru - Velký třesk II. etapa</t>
  </si>
  <si>
    <t>MŠ Barevný ostrov - provozní příspěvek</t>
  </si>
  <si>
    <t>MŠ Barevný ostrov - provozní příspěvek "na odpisy"</t>
  </si>
  <si>
    <t>MŠ Karlická - provozní příspěvek</t>
  </si>
  <si>
    <t>MŠ Karlická - provozní příspěvek "na odpisy"</t>
  </si>
  <si>
    <t>MŠ Topolská - provozní příspěvek</t>
  </si>
  <si>
    <t>MŠ Topolská - provozní příspěvek "na odpisy"</t>
  </si>
  <si>
    <t>MŠ Topolská - rezerva na platy</t>
  </si>
  <si>
    <t>MŠ Husova - provozní příspěvek</t>
  </si>
  <si>
    <t>MŠ Husova - provozní příspěvek (na "odpisy")</t>
  </si>
  <si>
    <t>ZŠ - provozní příspěvek</t>
  </si>
  <si>
    <t>ZŠ - provozní příspěvek "na odpisy"</t>
  </si>
  <si>
    <t>ZUŠ - provozní příspěvek</t>
  </si>
  <si>
    <t>ZUŠ - provozní příspěvek "na odpisy"</t>
  </si>
  <si>
    <t>Zastupitelé - provozní výdaje</t>
  </si>
  <si>
    <t>odměny nečlenům zastupitelstva</t>
  </si>
  <si>
    <t>odměny členům zastupitelstva</t>
  </si>
  <si>
    <t>reprezentační předměty</t>
  </si>
  <si>
    <t>věcné dary</t>
  </si>
  <si>
    <t>Fond starosty</t>
  </si>
  <si>
    <t>FO - provozní výdaje</t>
  </si>
  <si>
    <t>ostatní služby - daň. poradce</t>
  </si>
  <si>
    <t>Úroky z úvěru - radnice</t>
  </si>
  <si>
    <t>Úroky z úvěru - sportovní hala</t>
  </si>
  <si>
    <t>Úroky z úvěru - VT II. etapa</t>
  </si>
  <si>
    <t>Příjmy a výdaje z fin. operací - provozní výdaje</t>
  </si>
  <si>
    <t>bankovní poplatky</t>
  </si>
  <si>
    <t>odvod DPH finančnímu úřadu</t>
  </si>
  <si>
    <t>Daň z příjmů za obec za minulý rok</t>
  </si>
  <si>
    <t>Kompenzační příspěvek</t>
  </si>
  <si>
    <t>Rezerva všeobecná</t>
  </si>
  <si>
    <t>Rezerva rady</t>
  </si>
  <si>
    <t>Rezerva investiční</t>
  </si>
  <si>
    <t>Celkem za ORJ 0000000900</t>
  </si>
  <si>
    <t>OI - provozní výdaje</t>
  </si>
  <si>
    <t>OON - dohody mimo pracovní poměr</t>
  </si>
  <si>
    <t>Drobný hmotný majetek</t>
  </si>
  <si>
    <t>Telekomunikace</t>
  </si>
  <si>
    <t>konzultační a právní služby</t>
  </si>
  <si>
    <t>Školení</t>
  </si>
  <si>
    <t>služby zpracování dat</t>
  </si>
  <si>
    <t>Programové vybavení</t>
  </si>
  <si>
    <t>OI - investiční výdaje</t>
  </si>
  <si>
    <t>Celkem za ORJ 0000001000</t>
  </si>
  <si>
    <t>Silnice - provozní výdaje</t>
  </si>
  <si>
    <t>materiál (navigační cedulky)</t>
  </si>
  <si>
    <t>Silnice - investiční výdaje</t>
  </si>
  <si>
    <t>PD nových i stávajících komunikací</t>
  </si>
  <si>
    <t>Chodníky - provozní výdaje</t>
  </si>
  <si>
    <t>Konzultační a právní služby</t>
  </si>
  <si>
    <t>průzkum stok kouřovým vozem</t>
  </si>
  <si>
    <t>Chodníky - investiční výdaje</t>
  </si>
  <si>
    <t>Dopravní obslužnost - provozní výdaje</t>
  </si>
  <si>
    <t>údržba zastávek</t>
  </si>
  <si>
    <t>autobusové linky</t>
  </si>
  <si>
    <t>Voda - provozní výdaje</t>
  </si>
  <si>
    <t>OON - dohody (dohoda + oprávněná osoba)</t>
  </si>
  <si>
    <t>prádo, oděv, obuv</t>
  </si>
  <si>
    <t>Voda (PVK)</t>
  </si>
  <si>
    <t>nájemné za vrty (Klán)</t>
  </si>
  <si>
    <t>kontroly tlakových nádob a zařízení na ČOV</t>
  </si>
  <si>
    <t>Voda - investiční výdaje</t>
  </si>
  <si>
    <t>Nákup materiálu (včetně chemie pro ČOV)</t>
  </si>
  <si>
    <t>PHM do dieselagregátu</t>
  </si>
  <si>
    <t>Kanalizace - investiční výdaje</t>
  </si>
  <si>
    <t>Nová MŠ Husova</t>
  </si>
  <si>
    <t>Atletický ovál a venkovní sportoviště u ZŠ Mokrops</t>
  </si>
  <si>
    <t>honoráře, autorské poplatky</t>
  </si>
  <si>
    <t>plyn</t>
  </si>
  <si>
    <t>elektrická energie</t>
  </si>
  <si>
    <t>ostatní služby - úklid, správce, manažer</t>
  </si>
  <si>
    <t>ZŠ - investiční výdaje</t>
  </si>
  <si>
    <t>Kulturní sál Vráž - provozní výdaje</t>
  </si>
  <si>
    <t>DDHM - technika, mobiliář</t>
  </si>
  <si>
    <t>fond oprav</t>
  </si>
  <si>
    <t>Byty - provozní výdaje</t>
  </si>
  <si>
    <t>Nebyty - provozní výdaje</t>
  </si>
  <si>
    <t>Plyn</t>
  </si>
  <si>
    <t>Veřejné osvětlení - provozní výdaje</t>
  </si>
  <si>
    <t>Nákup ostatních služeb (správa VO)</t>
  </si>
  <si>
    <t>Veřejné osvětlení - investiční výdaje</t>
  </si>
  <si>
    <t>Trafostanice - provozní výdaje</t>
  </si>
  <si>
    <t>Územní rozvoj - provozní výdaje</t>
  </si>
  <si>
    <t>členské příspěvky - SMO, SMS</t>
  </si>
  <si>
    <t>členské příspěvky - RDB</t>
  </si>
  <si>
    <t>Územní rozvoj - investiční výdaje</t>
  </si>
  <si>
    <t>pozemky pod komunikacemi</t>
  </si>
  <si>
    <t>Rezerva - extrémní meteorologické jevy</t>
  </si>
  <si>
    <t>Rezerva - extrémní meteorologické jevy vč. prevence</t>
  </si>
  <si>
    <t>Hasiči - investiční výdaje</t>
  </si>
  <si>
    <t>OISM - provozní výdaje</t>
  </si>
  <si>
    <t>Pojištění - provozní výdaje</t>
  </si>
  <si>
    <t>Povinné pojistné placené zaměstnavatelem - Kooperativa</t>
  </si>
  <si>
    <t>Vyplacená pojistná plnění (3. osobám)</t>
  </si>
  <si>
    <t>Celkem za ORJ 0000001100</t>
  </si>
  <si>
    <t>Silnice - provozní výdaje OTS</t>
  </si>
  <si>
    <t>Chodníky - provozní výdaje OTS</t>
  </si>
  <si>
    <t>Značky - provozní výdaje</t>
  </si>
  <si>
    <t>Hřiště - běžné výdaje</t>
  </si>
  <si>
    <t>Hřiště - provozní výdaje</t>
  </si>
  <si>
    <t>Pohřebnictví - provozní výdaje</t>
  </si>
  <si>
    <t>OON - dohody (hrobníci)</t>
  </si>
  <si>
    <t>materiál (věnce k pomníkům)</t>
  </si>
  <si>
    <t>nájemné pozemku (hřbitov Černošice)</t>
  </si>
  <si>
    <t>opravy hřbitovních zdí</t>
  </si>
  <si>
    <t>OTS - provozní výdaje</t>
  </si>
  <si>
    <t>OON - dohody (úklid)</t>
  </si>
  <si>
    <t>ochranné nápoje</t>
  </si>
  <si>
    <t>prádlo, oděv, obuv</t>
  </si>
  <si>
    <t>DDHM - nářadí</t>
  </si>
  <si>
    <t>materiál (včetně pneu)</t>
  </si>
  <si>
    <t>Odstraňování odpadu - provozní výdaje</t>
  </si>
  <si>
    <t>svoz TKO (Rumpold, ATEA)</t>
  </si>
  <si>
    <t>Odstraňování odpadu - investiční výdaje</t>
  </si>
  <si>
    <t>Odpady (kontejnery SKO a BIO) - provozní výdaje</t>
  </si>
  <si>
    <t>knihy, tisk - zákon o odpadech</t>
  </si>
  <si>
    <t>Nákup materiálu (koše, sáčky na psí exkrementy)</t>
  </si>
  <si>
    <t>Rekultivace skládky U Dubu</t>
  </si>
  <si>
    <t>Zeleň - provozní výdaje</t>
  </si>
  <si>
    <t>Zeleň - investiční výdaje</t>
  </si>
  <si>
    <t>Celkem za ORJ 0000001200</t>
  </si>
  <si>
    <t>Hasiči - provozní výdaje</t>
  </si>
  <si>
    <t>plat</t>
  </si>
  <si>
    <t>Pojistné na soc. zabezpečení</t>
  </si>
  <si>
    <t>prádlo, oděv, obuv (výstroj)</t>
  </si>
  <si>
    <t>nákup materiálu</t>
  </si>
  <si>
    <t>elektřina</t>
  </si>
  <si>
    <t>pojištění</t>
  </si>
  <si>
    <t>údržba a aktualizace systému Fireport</t>
  </si>
  <si>
    <t>nákup ostatních služeb</t>
  </si>
  <si>
    <t>Celkem za ORJ 0000001300</t>
  </si>
  <si>
    <t>DPS - provozní výdaje</t>
  </si>
  <si>
    <t>drobný hmotný majetek</t>
  </si>
  <si>
    <t>vratky přeplatků z vyúčtování služeb</t>
  </si>
  <si>
    <t>DPS - investiční výdaje</t>
  </si>
  <si>
    <t>Pečovatelská služba - provozní výdaje</t>
  </si>
  <si>
    <t>Péče o seniory</t>
  </si>
  <si>
    <t>honoráře</t>
  </si>
  <si>
    <t>aktivity pro seniory</t>
  </si>
  <si>
    <t>Handicap transport</t>
  </si>
  <si>
    <t>Celkem za ORJ 0000001400</t>
  </si>
  <si>
    <t>OSÚ - provozní výdaje</t>
  </si>
  <si>
    <t>oděv, obuv</t>
  </si>
  <si>
    <t>Celkem za ORJ 0000001500</t>
  </si>
  <si>
    <t>OP - provozní výdaje</t>
  </si>
  <si>
    <t>materiál (pokutové bloky)</t>
  </si>
  <si>
    <t>odborné posudky</t>
  </si>
  <si>
    <t>Celkem za ORJ 0000001600</t>
  </si>
  <si>
    <t>Právní odbor - běžné výdaje</t>
  </si>
  <si>
    <t>sociální pojištění</t>
  </si>
  <si>
    <t>ostatní služby - vyvlastňování</t>
  </si>
  <si>
    <t>Celkem za ORJ 0000001700</t>
  </si>
  <si>
    <t>MP - provozní výdaje</t>
  </si>
  <si>
    <t>platy zaměstnanců</t>
  </si>
  <si>
    <t>pojistné na zdravotní pojištění</t>
  </si>
  <si>
    <t>elektrická enegrie (včetně kamer)</t>
  </si>
  <si>
    <t>služby telekomunikací</t>
  </si>
  <si>
    <t>konzult. a právní služby</t>
  </si>
  <si>
    <t>MP - útulky pro zvířata</t>
  </si>
  <si>
    <t>útulky pro zvířata</t>
  </si>
  <si>
    <t>Celkem za ORJ 0000002000</t>
  </si>
  <si>
    <t>Celkem</t>
  </si>
  <si>
    <t>Souhrnný dotační vztah - výkon st. správy</t>
  </si>
  <si>
    <t>Celkem za ORJ 0000000000</t>
  </si>
  <si>
    <t>Knihovna - příjmy</t>
  </si>
  <si>
    <t>IL - příjmy - inzerce</t>
  </si>
  <si>
    <t>inzerce v IL</t>
  </si>
  <si>
    <t>Kultura - příjmy</t>
  </si>
  <si>
    <t>příjmy z poskytování služeb (plakáty)</t>
  </si>
  <si>
    <t>podej zboží (knihy)</t>
  </si>
  <si>
    <t>OSVZ - příjmy</t>
  </si>
  <si>
    <t>Recepty na opiáty</t>
  </si>
  <si>
    <t>Státní příspěvek na výkon pěstounské péče</t>
  </si>
  <si>
    <t>OSPOD - dotace</t>
  </si>
  <si>
    <t>OŽÚ - příjmy</t>
  </si>
  <si>
    <t>správní poplatky</t>
  </si>
  <si>
    <t>Přijaté sankční platby od jiných subjektů - pokuty</t>
  </si>
  <si>
    <t>náhrady nákladů řízení</t>
  </si>
  <si>
    <t>OŽP - příjmy</t>
  </si>
  <si>
    <t>Přijaté sankční platby - ekologické pokuty</t>
  </si>
  <si>
    <t>SO - příjmy</t>
  </si>
  <si>
    <t>veřejnoprávní smlouvy na výkon přenesené působnosti</t>
  </si>
  <si>
    <t>Přijaté sankční platby - pokuty</t>
  </si>
  <si>
    <t>DzP FO ze závislé činnosti</t>
  </si>
  <si>
    <t>DzP FO placená plátci (za zaměstnance)</t>
  </si>
  <si>
    <t>DzP FO ze SVČ (z přiznání)</t>
  </si>
  <si>
    <t>DzP FO vybíraná srážkou</t>
  </si>
  <si>
    <t>DzP PO</t>
  </si>
  <si>
    <t>DzP právnických osob</t>
  </si>
  <si>
    <t>daň z příjmů za obec za minulý rok</t>
  </si>
  <si>
    <t>DPH</t>
  </si>
  <si>
    <t>příjem - poplatek za likvidaci komunálního odpadu</t>
  </si>
  <si>
    <t>poplatek za likvidaci komunálního odpadu</t>
  </si>
  <si>
    <t>příjem - poplatek ze psů</t>
  </si>
  <si>
    <t>poplatek ze psů</t>
  </si>
  <si>
    <t>FO - příjmy</t>
  </si>
  <si>
    <t>správní poplatky (splátkové kalendáře)</t>
  </si>
  <si>
    <t>Daň z hazardních her</t>
  </si>
  <si>
    <t>Daň z nemovitostí</t>
  </si>
  <si>
    <t>Zapojení zůstatku účtu</t>
  </si>
  <si>
    <t>Zapojení zůstatku účtu - příspěvek na pěstounskou péči</t>
  </si>
  <si>
    <t>Příjmy a výdaje z fin. operací - příjmy</t>
  </si>
  <si>
    <t>úroky z BÚ</t>
  </si>
  <si>
    <t>OISM - příjmy</t>
  </si>
  <si>
    <t>poplatek za užívání veřejného prostranství</t>
  </si>
  <si>
    <t>Dopravní obslužnost - příjmy</t>
  </si>
  <si>
    <t>pronájem zastávek</t>
  </si>
  <si>
    <t>Voda - příjmy</t>
  </si>
  <si>
    <t>Příjmy z poskytování služeb a výrobků - vodné + stočné</t>
  </si>
  <si>
    <t>vratka přeplatku - poplatky za odběr podzemních vod</t>
  </si>
  <si>
    <t>ČOV - příjmy</t>
  </si>
  <si>
    <t>ČOV - fekální vozy</t>
  </si>
  <si>
    <t>ČOV - plánovací smlouvy (příspěvky na infrastrukturu)</t>
  </si>
  <si>
    <t>Hala Věry Čáslavské - příjmy</t>
  </si>
  <si>
    <t>hala - příjmy z pronájmu</t>
  </si>
  <si>
    <t>Kuturní sál Vráž - příjmy</t>
  </si>
  <si>
    <t>pronájem sálu</t>
  </si>
  <si>
    <t>Byty - příjmy</t>
  </si>
  <si>
    <t>příjmy z pronájmu ost. nemovitostí</t>
  </si>
  <si>
    <t>doplatky minulých let</t>
  </si>
  <si>
    <t>Nebyty - příjmy</t>
  </si>
  <si>
    <t>příjmy z poskytování služeb</t>
  </si>
  <si>
    <t>příjmy z pronájmu pozemků</t>
  </si>
  <si>
    <t>Územní rozvoj - příjmy</t>
  </si>
  <si>
    <t>Pohřebnictví - příjmy</t>
  </si>
  <si>
    <t>OTS - příjmy</t>
  </si>
  <si>
    <t>Odpady (kontejnery SKO a BIO) - příjmy</t>
  </si>
  <si>
    <t>Využívání odpadů - příjmy</t>
  </si>
  <si>
    <t>podnikatelé odpady</t>
  </si>
  <si>
    <t>DPS - příjmy</t>
  </si>
  <si>
    <t>Příjmy z pronájmu</t>
  </si>
  <si>
    <t>Pečovatelská služba - příjmy</t>
  </si>
  <si>
    <t>OSÚ - příjmy</t>
  </si>
  <si>
    <t>přijaté sankční platby</t>
  </si>
  <si>
    <t>OP - příjmy</t>
  </si>
  <si>
    <t>pokuty za dopravní přestupky</t>
  </si>
  <si>
    <t>MP - příjmy</t>
  </si>
  <si>
    <t>veřejnoprávní smlouvy - výkon MP</t>
  </si>
  <si>
    <t>Celková bilance</t>
  </si>
  <si>
    <t>v tis. Kč</t>
  </si>
  <si>
    <t>řádek</t>
  </si>
  <si>
    <t>Celkem výdaje</t>
  </si>
  <si>
    <t xml:space="preserve"> - běžné</t>
  </si>
  <si>
    <t xml:space="preserve"> - investiční</t>
  </si>
  <si>
    <t>Celkem příjmy</t>
  </si>
  <si>
    <t xml:space="preserve"> - daňové a vlastní</t>
  </si>
  <si>
    <t xml:space="preserve"> - kapitálové</t>
  </si>
  <si>
    <t xml:space="preserve"> - dotační</t>
  </si>
  <si>
    <t>Rozpočtové saldo (ř.2 - ř.1)</t>
  </si>
  <si>
    <t>schodek rozpočtu záporný, přebytek v případě kladného čísla</t>
  </si>
  <si>
    <t>Zapojení dlouhodobého úvěru</t>
  </si>
  <si>
    <t>Splácení úvěrů a půjček</t>
  </si>
  <si>
    <t>Změna stavu účtů</t>
  </si>
  <si>
    <t xml:space="preserve"> - zapojení zůstatku účtu</t>
  </si>
  <si>
    <t xml:space="preserve"> - nevyčerpaný příspěvěk na výkon pěstounské péče</t>
  </si>
  <si>
    <t xml:space="preserve"> - Nevyčerpané prostředky SF</t>
  </si>
  <si>
    <t>Schodek rozpočtu (ř.8 - ř.7)</t>
  </si>
  <si>
    <t>Zapojení úvěru k financování rozpočtového schodku</t>
  </si>
  <si>
    <t>deratizace</t>
  </si>
  <si>
    <t>rezerva na dokumentaci k žádostem o dotace</t>
  </si>
  <si>
    <t>OTS - investiční výdaje</t>
  </si>
  <si>
    <t>převedení smluv na město</t>
  </si>
  <si>
    <t>pohoštění - ÚZ 2</t>
  </si>
  <si>
    <t>věcné dary - mimo dotaci - ÚZ 2</t>
  </si>
  <si>
    <t>Sociální fond</t>
  </si>
  <si>
    <t>Výzva 80 - OPZ - projekt Otevřené město Černošice</t>
  </si>
  <si>
    <t>Výzva 80 - OPZ - projekt Otevřené město Černošice - 5% SR</t>
  </si>
  <si>
    <t>Výzva 80 - OPZ - projekt Otevřené město Černošice - 85% EU</t>
  </si>
  <si>
    <t>Registrační poplatky a knihovnické služby</t>
  </si>
  <si>
    <t>přijaté sankční platby od jiných subjektů - pokuty</t>
  </si>
  <si>
    <t>Příjem - poplatek z pobytu</t>
  </si>
  <si>
    <t>poplatek z pobytu</t>
  </si>
  <si>
    <t>příjmy z věcných břemen</t>
  </si>
  <si>
    <t>příjmy z prodeje drobných pozemků</t>
  </si>
  <si>
    <t>příjmy z poskytování služeb (pronájmy hrobových míst)</t>
  </si>
  <si>
    <t>příjmy z poskytování služeb (kontejnery SKO a bio)</t>
  </si>
  <si>
    <t>přijaté nekapitálové příspěvky a náhrady - EKOKOM, Asekol, Elektrowin</t>
  </si>
  <si>
    <t>příjmy z poskytování služeb a výrobků</t>
  </si>
  <si>
    <t>příjmy z prodeje zboží - obědy</t>
  </si>
  <si>
    <t>veřejnoprávní smlouvy - výkon přenesené působnosti</t>
  </si>
  <si>
    <t>pokuty za dopravní přestupky - úsekové měření</t>
  </si>
  <si>
    <t>publikace o Černošicích (2. smlouva)</t>
  </si>
  <si>
    <t>Stravenky</t>
  </si>
  <si>
    <t>Stravenky - podíl města</t>
  </si>
  <si>
    <t>sociální fond (benefity)</t>
  </si>
  <si>
    <t>Stravenky - podíl zaměstnanců ze SF</t>
  </si>
  <si>
    <t>poštovné - mimo úsekového měření</t>
  </si>
  <si>
    <t>poštovné - úsekové měření</t>
  </si>
  <si>
    <t>Ostatní sociální péče - běžné výdaje</t>
  </si>
  <si>
    <t>nákup tísňových tlačítek</t>
  </si>
  <si>
    <t>provoz tísňových tlačítek</t>
  </si>
  <si>
    <t>materiál (vč. receptů na opiáty)</t>
  </si>
  <si>
    <t>služby peněžních ústavů - povinné ručení - ÚZ 2</t>
  </si>
  <si>
    <t>nájemné (Václavská) - ÚZ 2 (nadlimitní)</t>
  </si>
  <si>
    <t>psychologické poradenství (CES 498/2016) - ÚZ 2</t>
  </si>
  <si>
    <t>změna RP Javorová (platba 3. etapa)</t>
  </si>
  <si>
    <t>Lesní hospodářské osnovy - investiční výdaje</t>
  </si>
  <si>
    <t>Lesní hospodářské osnovy</t>
  </si>
  <si>
    <t>Zvláštní veterinární péče - běžné výdaje</t>
  </si>
  <si>
    <t>opravy výtluků</t>
  </si>
  <si>
    <t>bezpečnostní úpravy komunikací</t>
  </si>
  <si>
    <t>PD nových staveb</t>
  </si>
  <si>
    <t>Pojistné na sociální zabezpeče</t>
  </si>
  <si>
    <t>telekomunikace (telemetrie)</t>
  </si>
  <si>
    <t>poplatky za odběr podzemních vod</t>
  </si>
  <si>
    <t>U Vodárny - smlouva na VB s KSÚS</t>
  </si>
  <si>
    <t>poplatky za vypouštění odpadních vod</t>
  </si>
  <si>
    <t>obnova čerpadel v ČS</t>
  </si>
  <si>
    <t>povýsadbová péče</t>
  </si>
  <si>
    <t>Výměna tepelného zdroje v ZŠ Komenského</t>
  </si>
  <si>
    <t>zpracování ZVA na nový topný zdroj pořízený z dotace</t>
  </si>
  <si>
    <t>buňky k oválu</t>
  </si>
  <si>
    <t>úprava pozemku pro chov koz</t>
  </si>
  <si>
    <t>dovybavení jeviště zvukovou a promítací technikou</t>
  </si>
  <si>
    <t>nákup ostatních služeb (správce, revize)</t>
  </si>
  <si>
    <t>nájemné za halu v Husově ulici</t>
  </si>
  <si>
    <t>Nebyty - investiční výdaje</t>
  </si>
  <si>
    <t>PD a TDI pro VO</t>
  </si>
  <si>
    <t>VO Havlíčkova, Tyršova, B. Němcové, Bezručova, a okolí - ČEZ</t>
  </si>
  <si>
    <t>VO Riegrova + k zimnímu stadionu/Střední (Vrážská-Mládežnická)</t>
  </si>
  <si>
    <t>VO Slunečná (Javorová - Borůvková) - ČEZ</t>
  </si>
  <si>
    <t>VO Smetanova - po demontáži ČEZ</t>
  </si>
  <si>
    <t>VO při dalších přeložkách ČEZ</t>
  </si>
  <si>
    <t>konz. a právní služby - burzovní a aukční poplatky</t>
  </si>
  <si>
    <t>pojištění majetku města</t>
  </si>
  <si>
    <t>studie nového hřbitova na Vráži</t>
  </si>
  <si>
    <t>zboží - tašky na tříděný odpad</t>
  </si>
  <si>
    <t>skládka - údržba zeleně</t>
  </si>
  <si>
    <t>nákup zboží k prodeji - obědy</t>
  </si>
  <si>
    <t>Nákup ostatních služeb - výlety pro klienty</t>
  </si>
  <si>
    <t>Dálniční známky (5x)</t>
  </si>
  <si>
    <t>pohoštění na akce pro seniory</t>
  </si>
  <si>
    <t>granty v sociální oblasti</t>
  </si>
  <si>
    <t>rezerva na posudky pro OSÚ, OŽP a OÚP</t>
  </si>
  <si>
    <t>obnova zbraní</t>
  </si>
  <si>
    <t>ostatní služby - atesty radarů, lék. prohlídky, očkování, průkazy</t>
  </si>
  <si>
    <t>SW do notebooků a PC</t>
  </si>
  <si>
    <t>Upravený rozpočet 2020 k 30. 9.</t>
  </si>
  <si>
    <t>Skutečnost 2019</t>
  </si>
  <si>
    <t>Celkové výdaje (ř.1 + ř.5)</t>
  </si>
  <si>
    <t>Celkové zdroje financování (ř.2 + ř.4 + ř.6)</t>
  </si>
  <si>
    <t>rezerva - suplování státu</t>
  </si>
  <si>
    <t xml:space="preserve"> NÁVRH ROZPOČTU PŘÍJMŮ DLE ORJ, ODPA, POL A ORG NA ROK 2022</t>
  </si>
  <si>
    <t>Výdaje
v tis. Kč</t>
  </si>
  <si>
    <t>Schválený rozpočet 2021
v tis. Kč</t>
  </si>
  <si>
    <t>Skutečnost 2021 
k 30. 9.
v tis. Kč</t>
  </si>
  <si>
    <t>Skutečnost 2020
v tis. Kč</t>
  </si>
  <si>
    <t>Skutečnost 2019
v tis. Kč</t>
  </si>
  <si>
    <t>DzP FO placená poplatníky (zejména OSVČ pouze sdílená část)</t>
  </si>
  <si>
    <t>MŚ Karlicka - příjmy</t>
  </si>
  <si>
    <t>odvod z fondu investic</t>
  </si>
  <si>
    <t>MŠ Husova - příjmy</t>
  </si>
  <si>
    <t>ZŠ - příjmy</t>
  </si>
  <si>
    <t>neinvestiční dary</t>
  </si>
  <si>
    <t>oval - příjmy z pronájmu</t>
  </si>
  <si>
    <t>vyúčtování služeb za předchozí rok</t>
  </si>
  <si>
    <t xml:space="preserve"> NÁVRH ROZPOČTU VÝDAJŮ DLE ORJ, ODPA, POL A ORG NA ROK 2022</t>
  </si>
  <si>
    <t>výdaje nenárokované v r. 2022</t>
  </si>
  <si>
    <t>vazba kroniky</t>
  </si>
  <si>
    <t>drobné opravy (např. kapličky po výstavách)</t>
  </si>
  <si>
    <t>DDHM - sety, lavičky, stany apod.</t>
  </si>
  <si>
    <t>zboží - turistické známky, pohledy?</t>
  </si>
  <si>
    <t>materiál - tisk plakátů, nástěnek, bannerů, sponky apod.</t>
  </si>
  <si>
    <t>Elektrická energie - hasičárna Černošice a venkovní akce</t>
  </si>
  <si>
    <t>Nájemné - Club kino, kostel, Mana</t>
  </si>
  <si>
    <t>městské akce - účinkující, zvukaři, pronájem toalet, zvučení v amfiteátru</t>
  </si>
  <si>
    <t>Opravy a udržování - club technika, hasičárna, kaplička atd.</t>
  </si>
  <si>
    <t>inzerce</t>
  </si>
  <si>
    <t>lékařské prohlídky, výjezdní zasedání, vánoční večírek, etická linka</t>
  </si>
  <si>
    <t>OVV - investiční výdaje</t>
  </si>
  <si>
    <t>schránka na interní poštu</t>
  </si>
  <si>
    <t>Místní správa provoz - provozní výdaje</t>
  </si>
  <si>
    <t>Místní správa - provoz - DDHM OVM</t>
  </si>
  <si>
    <t>mobilní telefony, dovybavení kanceláří (lampy, podnosy), klimatizace</t>
  </si>
  <si>
    <t>Místní správa - provoz - DDHM OVV</t>
  </si>
  <si>
    <t>mobilní telefony, dovybavení kanceláří (lampy, podnosy)</t>
  </si>
  <si>
    <t>Místní správa - provoz - DDHM OSVZ</t>
  </si>
  <si>
    <t>mobily, vybavení</t>
  </si>
  <si>
    <t>Místní správa - provoz - DDHM OÚP</t>
  </si>
  <si>
    <t>lampičky, židle, mobily, podstavce, držáky</t>
  </si>
  <si>
    <t>Místní správa - provoz - DDHM OOŽÚ</t>
  </si>
  <si>
    <t>židle, klimatizace, lednice, registratury, skartovačka</t>
  </si>
  <si>
    <t>Místní správa - provoz - DDHM OŽP</t>
  </si>
  <si>
    <t>nábytek, židle, vybavení</t>
  </si>
  <si>
    <t>Místní správa - provoz - DDHM SO</t>
  </si>
  <si>
    <t>Místní správa - provoz - DDHM FO</t>
  </si>
  <si>
    <t>Místní správa - provoz - DDHM OI (mimo IT)</t>
  </si>
  <si>
    <t>nábytek v Podskalské</t>
  </si>
  <si>
    <t>Místní správa - provoz - DDHM OISM</t>
  </si>
  <si>
    <t>Místní správa - provoz - DDHM OSÚ</t>
  </si>
  <si>
    <t>Místní správa - provoz - DDHM OP</t>
  </si>
  <si>
    <t>Místní správa - provoz - DDHM PO</t>
  </si>
  <si>
    <t>úklid, recepce Václavská, očkování klíště - ÚZ 2</t>
  </si>
  <si>
    <t>změn č. 3 ÚP Černošice 3. etepa + dodatek</t>
  </si>
  <si>
    <t>změna RP Na Koutech odhad</t>
  </si>
  <si>
    <t>změna č. 4 ÚP Černošice</t>
  </si>
  <si>
    <t>změna č. 6 ÚP odhad</t>
  </si>
  <si>
    <t>změny územního plánu</t>
  </si>
  <si>
    <t>platy (vč. 3% na pohotovost)</t>
  </si>
  <si>
    <t>posudky honiteb podle § 36 zák. č. 449/2001 Sb., o myslivosti</t>
  </si>
  <si>
    <t>Územní studie ekologiské stability (ÚSES)</t>
  </si>
  <si>
    <t>Územní studie ekologiské stability (ÚSES) - NIV - 15% město</t>
  </si>
  <si>
    <t>Územní studie ekologiské stability (ÚSES) - NIV - 85% EU</t>
  </si>
  <si>
    <t>Územní studie ekologiské stability (ÚSES) - INV - 15% město</t>
  </si>
  <si>
    <t>Územní studie ekologiské stability (ÚSES) - INV - 85% EU</t>
  </si>
  <si>
    <t>pracovní bundy pro komisaře</t>
  </si>
  <si>
    <t>členské příspěvky SMO, SMS, OM</t>
  </si>
  <si>
    <t>členské příspěvky RDB</t>
  </si>
  <si>
    <t>Participativní rozpočet</t>
  </si>
  <si>
    <t>Participativní rozpočet "Černošická šance"</t>
  </si>
  <si>
    <t>odměny za užití duševního vlastnictví</t>
  </si>
  <si>
    <t>jehličkové tiskárny pro SO (na 5 let)</t>
  </si>
  <si>
    <t>ARCGis pro OÚP</t>
  </si>
  <si>
    <t>AutoCad pro OÚP</t>
  </si>
  <si>
    <t>Disk. pole pro Černošice (náhrada 2010) dle 2018</t>
  </si>
  <si>
    <t>Poplatkomat (původní - 2015)</t>
  </si>
  <si>
    <t>Routery hraniční 2x (dle stávajících 2010) odhad</t>
  </si>
  <si>
    <t>Rozšíření vyvolávacího systému (SO, ŽÚ) odhad</t>
  </si>
  <si>
    <t>Secure any box 275 user + instalace</t>
  </si>
  <si>
    <t>Servery Černošice (náhrada za 2010) dle 2018</t>
  </si>
  <si>
    <t>Switche 48 běžná obměna 2x (běžné ceny)</t>
  </si>
  <si>
    <t>Switche L2 páteřní redund. 2x, Černošice, náhr. 2010</t>
  </si>
  <si>
    <t>Usnesení rady a zastupitelstva (náhrada za TED)</t>
  </si>
  <si>
    <t>WinSvrDCCore 2019 SNGL MVL 16Lic CoreLic 2x</t>
  </si>
  <si>
    <t>obměna nebo nákupy tiskáren velkých 1x 50 tis. (odhad)</t>
  </si>
  <si>
    <t>VMWare</t>
  </si>
  <si>
    <t>Veeam</t>
  </si>
  <si>
    <t>nájemné - chodník u nádraží v Černošicích, komunikace (pí Fillová, p. Petelík)</t>
  </si>
  <si>
    <t>opravy obrusných vrstev (např. Topolská, Smetanova, Riegrova)</t>
  </si>
  <si>
    <t>ostatní opravy (kamery, soupky, mobiliář, příslušenství komunikací)</t>
  </si>
  <si>
    <t>čištění dešťové kanalizace</t>
  </si>
  <si>
    <t>PD rekostrukcí ulic Boženy Němcové, Mánesova, Pod Ptáčnicí, Táborská, Moravská, Jiráskova, Pardubická</t>
  </si>
  <si>
    <t>parkoviště u školy</t>
  </si>
  <si>
    <t>rekonstrukce místních komunikací</t>
  </si>
  <si>
    <t>rekonstrukce ulice K Lesíku</t>
  </si>
  <si>
    <t>úprava staré návsi Slunečná</t>
  </si>
  <si>
    <t>chodník Dr. Janského - spolufinancování</t>
  </si>
  <si>
    <t>schodiště z ulice Dr. Janského do ulice V. A. Nováka</t>
  </si>
  <si>
    <t>úprava staré návsi u kostela</t>
  </si>
  <si>
    <t>vlakové spoje</t>
  </si>
  <si>
    <t>Aquaconsult - technická a odborná pomoc</t>
  </si>
  <si>
    <t>cejchování vodoměrů, revize, vyhledávání poruch…</t>
  </si>
  <si>
    <t>rozbory voda a laboratorní práce</t>
  </si>
  <si>
    <t>technické úpravy VDJ Radotínská - úpravy výtlaku a čerpání</t>
  </si>
  <si>
    <t>Javorová - posílení výtlaku k napojení dalších lokalit</t>
  </si>
  <si>
    <t>PD na rozdělení komor ve VDJ Vráž</t>
  </si>
  <si>
    <t>měrné šachty pro rozdělení pásem a lepší identifikaci úniků vody</t>
  </si>
  <si>
    <t>vodovod Habřiny - spolufinancování</t>
  </si>
  <si>
    <t>vodovod U Vodárny - spolufinancování</t>
  </si>
  <si>
    <t>Kanalizace - provozní výdaje</t>
  </si>
  <si>
    <t>Aquaconsult - likvidace kalů</t>
  </si>
  <si>
    <t>Aquaconsult, Gematest - rozbory odpadních vod, laboratorní práce</t>
  </si>
  <si>
    <t>revize, dokumentace a projektová dokumentace pro opravy</t>
  </si>
  <si>
    <t>čištění splaškové kanalizace vč. čerpacích jímek</t>
  </si>
  <si>
    <t>kanalizace Habřiny - spolufinancování</t>
  </si>
  <si>
    <t>kanalizace U Vodárny - spolufinancování</t>
  </si>
  <si>
    <t>DDHM - zvuk, světlo, kino, vybavení oválu</t>
  </si>
  <si>
    <t>mytí a úpravy lamel</t>
  </si>
  <si>
    <t>neurčeno - rezerva?</t>
  </si>
  <si>
    <t>odpady, revize (PO, elektro, vzduchotechnika, EZS)</t>
  </si>
  <si>
    <t>správa haly (32/2020 Jelínek)</t>
  </si>
  <si>
    <t>správa haly (331/2019 Linhart)</t>
  </si>
  <si>
    <t>úklid haly (338/2016 Dvořák)</t>
  </si>
  <si>
    <t>rekonstrukce kmenových učeben ZŠ Komenského)</t>
  </si>
  <si>
    <t>Byty - investiční výdaje</t>
  </si>
  <si>
    <t>VO Alešova</t>
  </si>
  <si>
    <t>VO Arbesova - při rekonstrukci komunikace</t>
  </si>
  <si>
    <t>VO K Lesíku + parkoviště Pod školou - při rekonstrukci komunikace</t>
  </si>
  <si>
    <t>nájemné (bez nájemného za vrty, komunikace a cyklostezku)</t>
  </si>
  <si>
    <t>pozemky pod skládkou U Dubu</t>
  </si>
  <si>
    <t>lavičky</t>
  </si>
  <si>
    <t>odvoz odpadu ze štěrkových chodníků vč. skládkovného</t>
  </si>
  <si>
    <t>Chodníky, cyklostezky - investiční výdaje OTS</t>
  </si>
  <si>
    <t>kontejner na zeminu, suť a beton</t>
  </si>
  <si>
    <t>Hřbitov Vráž</t>
  </si>
  <si>
    <t>Hřbitov Vráž - vyjmutí ze ZPF a průzkumy</t>
  </si>
  <si>
    <t>multikára</t>
  </si>
  <si>
    <t>monitoring podzemních a povrchových vod</t>
  </si>
  <si>
    <t>kontejnery na bio a větve pro chataře</t>
  </si>
  <si>
    <t>PD na garážová vrata a stání - 4. stání</t>
  </si>
  <si>
    <t>telekomunikace - pevné linky, wifi, satelitní TV</t>
  </si>
  <si>
    <t>opravy a udržování - rekonstrukce bytů po 20 letech</t>
  </si>
  <si>
    <t>opravy DPS dle PD (okna, klempířské prvky, fasáda atd.) - spolufinancování</t>
  </si>
  <si>
    <t>výtah</t>
  </si>
  <si>
    <t>parní stanice prádelna</t>
  </si>
  <si>
    <t>Pečovatelská služba - investiční výdaje</t>
  </si>
  <si>
    <t>Vozidlo s plošinou pro zajištění přepravy osob</t>
  </si>
  <si>
    <t>Fond krizové pomoci</t>
  </si>
  <si>
    <t>zpracování dat (SW MP Manager)</t>
  </si>
  <si>
    <t>MP - investiční výdaje</t>
  </si>
  <si>
    <t>auto</t>
  </si>
  <si>
    <t>Splácení úvěru - Velký třesk II. etapa (doplatek)</t>
  </si>
  <si>
    <t>Návrh rozpočtu města Černošice na rok 2022</t>
  </si>
  <si>
    <t>Návrh rozpočtu 2022</t>
  </si>
  <si>
    <t>Schválený rozpočet 2021</t>
  </si>
  <si>
    <t xml:space="preserve"> - nevyčerpané prostředky výzvy 80</t>
  </si>
  <si>
    <t>Skutečnost 2020</t>
  </si>
  <si>
    <t>Skutečnost 2021 k 30. 9.</t>
  </si>
  <si>
    <t>vjezdová vrata do garáží</t>
  </si>
  <si>
    <t>PD zastřešení parkoviště</t>
  </si>
  <si>
    <t>auto 1x - obnova</t>
  </si>
  <si>
    <t>multikára na kontejnery</t>
  </si>
  <si>
    <t>ostatní služby - revize (BOZP), odborný ořez veřejné zeleně, údržba zahrady u radnice, zeleň u oválu</t>
  </si>
  <si>
    <t>trvalé vynětí pozemků z funkce lesa</t>
  </si>
  <si>
    <t>údržba městských lesů</t>
  </si>
  <si>
    <t>stadion - střecha - investice</t>
  </si>
  <si>
    <t>zemina a osivo pro nové travnaté pásy, zatravnění V Mýtě</t>
  </si>
  <si>
    <t>odkup 12m3 kontejnerů od Rumpoldu (4x)</t>
  </si>
  <si>
    <t>příspěvek MAS</t>
  </si>
  <si>
    <t>DSO Poberounské odpady</t>
  </si>
  <si>
    <t>oprava obložení oken</t>
  </si>
  <si>
    <t>brigádníci</t>
  </si>
  <si>
    <t>generel</t>
  </si>
  <si>
    <t>stavební dokončení prostor vedle sálu na Vráži</t>
  </si>
  <si>
    <t>oprava domu č. p. 627 ve Slunečné (fasáda, okna, krov, střecha) - zajištění nebo demolice</t>
  </si>
  <si>
    <t>polopodzemní kontejnery - Poštovní</t>
  </si>
  <si>
    <t>Hasiči - příjmy</t>
  </si>
  <si>
    <t>Mládež - investiční výdaje</t>
  </si>
  <si>
    <t>výměna oken v budova "A"</t>
  </si>
  <si>
    <t>dorovnání změn v rozpočtu v průběhu projednávání se starostou</t>
  </si>
  <si>
    <t>změny těsně před projednáním</t>
  </si>
  <si>
    <t>rezerva na navýšení platů v r. 2022</t>
  </si>
  <si>
    <t>rezerva na navýšení platů</t>
  </si>
  <si>
    <t>navýšení plynu a elektřiny na dvojnásobek odhadu roku 2021</t>
  </si>
  <si>
    <t>MŠ Karlická - investiční výdaje</t>
  </si>
  <si>
    <t>chodník v areálu školky</t>
  </si>
  <si>
    <t>navýšení příspěvků školám (energie, chodníky MŠ Karlická)</t>
  </si>
  <si>
    <t>Příjmy
v tis. Kč</t>
  </si>
  <si>
    <t>vedoucí úseku FO</t>
  </si>
  <si>
    <t>rekonstrukce odborných učeben - spolufinancování</t>
  </si>
  <si>
    <t>Péče o městské lesy</t>
  </si>
  <si>
    <t>% změna 
Návrh 2022/ Skutečnost 2019</t>
  </si>
  <si>
    <t>náhrada výdajů OSPOD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</si>
</sst>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%"/>
    <numFmt numFmtId="165" formatCode="#,##0.000"/>
  </numFmts>
  <fonts count="22" x14ac:knownFonts="1"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13" fillId="0" borderId="0" applyFill="0" applyBorder="0" applyAlignment="0" applyProtection="0"/>
    <xf numFmtId="0" fontId="16" fillId="0" borderId="0"/>
    <xf numFmtId="0" fontId="18" fillId="2" borderId="0" applyNumberFormat="0" applyBorder="0" applyAlignment="0" applyProtection="0"/>
    <xf numFmtId="0" fontId="1" fillId="0" borderId="0"/>
    <xf numFmtId="0" fontId="17" fillId="0" borderId="0"/>
    <xf numFmtId="0" fontId="21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43" fontId="13" fillId="0" borderId="0" applyFill="0" applyBorder="0" applyAlignment="0" applyProtection="0"/>
  </cellStyleXfs>
  <cellXfs count="136">
    <xf numFmtId="0" fontId="0" fillId="0" borderId="0" xfId="0"/>
    <xf numFmtId="0" fontId="5" fillId="0" borderId="0" xfId="4" applyFont="1" applyFill="1" applyAlignment="1">
      <alignment horizontal="left"/>
    </xf>
    <xf numFmtId="0" fontId="6" fillId="0" borderId="0" xfId="4" applyFont="1" applyFill="1"/>
    <xf numFmtId="14" fontId="5" fillId="0" borderId="0" xfId="4" applyNumberFormat="1" applyFont="1" applyFill="1"/>
    <xf numFmtId="0" fontId="5" fillId="0" borderId="0" xfId="4" applyFont="1" applyFill="1"/>
    <xf numFmtId="0" fontId="7" fillId="0" borderId="0" xfId="4" quotePrefix="1" applyFont="1" applyFill="1"/>
    <xf numFmtId="0" fontId="1" fillId="0" borderId="0" xfId="4" applyFill="1" applyAlignment="1">
      <alignment horizontal="center"/>
    </xf>
    <xf numFmtId="0" fontId="1" fillId="0" borderId="0" xfId="4" applyFont="1" applyFill="1" applyAlignment="1">
      <alignment horizontal="center"/>
    </xf>
    <xf numFmtId="0" fontId="1" fillId="0" borderId="0" xfId="4" applyFont="1" applyFill="1"/>
    <xf numFmtId="0" fontId="8" fillId="0" borderId="0" xfId="4" applyFont="1" applyFill="1"/>
    <xf numFmtId="0" fontId="9" fillId="0" borderId="0" xfId="4" applyFont="1" applyFill="1"/>
    <xf numFmtId="0" fontId="1" fillId="0" borderId="0" xfId="4" applyFill="1"/>
    <xf numFmtId="0" fontId="10" fillId="3" borderId="2" xfId="4" applyFont="1" applyFill="1" applyBorder="1" applyAlignment="1">
      <alignment horizontal="center" vertical="center"/>
    </xf>
    <xf numFmtId="0" fontId="10" fillId="3" borderId="3" xfId="4" applyFont="1" applyFill="1" applyBorder="1" applyAlignment="1">
      <alignment vertical="center"/>
    </xf>
    <xf numFmtId="0" fontId="12" fillId="0" borderId="0" xfId="4" applyFont="1" applyFill="1" applyAlignment="1">
      <alignment vertical="center"/>
    </xf>
    <xf numFmtId="4" fontId="11" fillId="3" borderId="4" xfId="4" applyNumberFormat="1" applyFont="1" applyFill="1" applyBorder="1" applyAlignment="1">
      <alignment horizontal="center" vertical="center"/>
    </xf>
    <xf numFmtId="0" fontId="10" fillId="3" borderId="5" xfId="4" applyFont="1" applyFill="1" applyBorder="1" applyAlignment="1">
      <alignment vertical="center"/>
    </xf>
    <xf numFmtId="0" fontId="11" fillId="3" borderId="6" xfId="4" applyFont="1" applyFill="1" applyBorder="1" applyAlignment="1">
      <alignment horizontal="center" vertical="center" wrapText="1"/>
    </xf>
    <xf numFmtId="0" fontId="11" fillId="3" borderId="7" xfId="4" applyFont="1" applyFill="1" applyBorder="1" applyAlignment="1">
      <alignment horizontal="center" vertical="center" wrapText="1"/>
    </xf>
    <xf numFmtId="0" fontId="11" fillId="3" borderId="8" xfId="4" applyFont="1" applyFill="1" applyBorder="1" applyAlignment="1">
      <alignment horizontal="center" vertical="center" wrapText="1"/>
    </xf>
    <xf numFmtId="10" fontId="12" fillId="0" borderId="0" xfId="7" applyNumberFormat="1" applyFont="1" applyFill="1" applyAlignment="1">
      <alignment vertical="center"/>
    </xf>
    <xf numFmtId="0" fontId="5" fillId="0" borderId="4" xfId="4" applyFont="1" applyBorder="1" applyAlignment="1">
      <alignment horizontal="center" vertical="center"/>
    </xf>
    <xf numFmtId="0" fontId="5" fillId="0" borderId="5" xfId="4" applyFont="1" applyBorder="1" applyAlignment="1">
      <alignment vertical="center"/>
    </xf>
    <xf numFmtId="3" fontId="6" fillId="0" borderId="9" xfId="4" applyNumberFormat="1" applyFont="1" applyFill="1" applyBorder="1" applyAlignment="1">
      <alignment horizontal="right" vertical="center"/>
    </xf>
    <xf numFmtId="3" fontId="6" fillId="0" borderId="6" xfId="4" applyNumberFormat="1" applyFont="1" applyFill="1" applyBorder="1" applyAlignment="1">
      <alignment horizontal="right" vertical="center"/>
    </xf>
    <xf numFmtId="3" fontId="6" fillId="0" borderId="7" xfId="4" applyNumberFormat="1" applyFont="1" applyFill="1" applyBorder="1" applyAlignment="1">
      <alignment horizontal="right" vertical="center"/>
    </xf>
    <xf numFmtId="164" fontId="6" fillId="0" borderId="8" xfId="4" applyNumberFormat="1" applyFont="1" applyFill="1" applyBorder="1" applyAlignment="1">
      <alignment horizontal="right" vertical="center"/>
    </xf>
    <xf numFmtId="0" fontId="1" fillId="0" borderId="0" xfId="4" applyFill="1" applyAlignment="1">
      <alignment vertical="center"/>
    </xf>
    <xf numFmtId="3" fontId="1" fillId="0" borderId="0" xfId="4" applyNumberFormat="1" applyFill="1" applyAlignment="1">
      <alignment vertical="center"/>
    </xf>
    <xf numFmtId="0" fontId="6" fillId="0" borderId="5" xfId="4" applyFont="1" applyBorder="1" applyAlignment="1">
      <alignment vertical="center"/>
    </xf>
    <xf numFmtId="0" fontId="5" fillId="0" borderId="5" xfId="4" applyFont="1" applyFill="1" applyBorder="1" applyAlignment="1">
      <alignment vertical="center"/>
    </xf>
    <xf numFmtId="0" fontId="5" fillId="0" borderId="10" xfId="4" applyFont="1" applyBorder="1" applyAlignment="1">
      <alignment horizontal="center" vertical="center"/>
    </xf>
    <xf numFmtId="0" fontId="6" fillId="0" borderId="11" xfId="4" applyFont="1" applyFill="1" applyBorder="1" applyAlignment="1">
      <alignment vertical="center"/>
    </xf>
    <xf numFmtId="3" fontId="6" fillId="0" borderId="12" xfId="4" applyNumberFormat="1" applyFont="1" applyFill="1" applyBorder="1" applyAlignment="1">
      <alignment horizontal="right" vertical="center"/>
    </xf>
    <xf numFmtId="3" fontId="6" fillId="0" borderId="13" xfId="4" applyNumberFormat="1" applyFont="1" applyFill="1" applyBorder="1" applyAlignment="1">
      <alignment horizontal="right" vertical="center"/>
    </xf>
    <xf numFmtId="3" fontId="6" fillId="0" borderId="14" xfId="4" applyNumberFormat="1" applyFont="1" applyFill="1" applyBorder="1" applyAlignment="1">
      <alignment horizontal="right" vertical="center"/>
    </xf>
    <xf numFmtId="164" fontId="6" fillId="0" borderId="15" xfId="4" applyNumberFormat="1" applyFont="1" applyFill="1" applyBorder="1" applyAlignment="1">
      <alignment horizontal="right" vertical="center"/>
    </xf>
    <xf numFmtId="0" fontId="5" fillId="0" borderId="16" xfId="4" applyFont="1" applyBorder="1" applyAlignment="1">
      <alignment horizontal="center" vertical="center"/>
    </xf>
    <xf numFmtId="0" fontId="5" fillId="0" borderId="17" xfId="4" applyFont="1" applyFill="1" applyBorder="1" applyAlignment="1">
      <alignment vertical="center"/>
    </xf>
    <xf numFmtId="3" fontId="6" fillId="0" borderId="18" xfId="4" applyNumberFormat="1" applyFont="1" applyFill="1" applyBorder="1" applyAlignment="1">
      <alignment vertical="center"/>
    </xf>
    <xf numFmtId="3" fontId="6" fillId="0" borderId="19" xfId="4" applyNumberFormat="1" applyFont="1" applyFill="1" applyBorder="1" applyAlignment="1">
      <alignment vertical="center"/>
    </xf>
    <xf numFmtId="3" fontId="6" fillId="0" borderId="20" xfId="4" applyNumberFormat="1" applyFont="1" applyFill="1" applyBorder="1" applyAlignment="1">
      <alignment vertical="center"/>
    </xf>
    <xf numFmtId="164" fontId="6" fillId="0" borderId="21" xfId="4" applyNumberFormat="1" applyFont="1" applyFill="1" applyBorder="1" applyAlignment="1">
      <alignment horizontal="right" vertical="center"/>
    </xf>
    <xf numFmtId="0" fontId="13" fillId="0" borderId="0" xfId="4" applyFont="1" applyFill="1" applyAlignment="1"/>
    <xf numFmtId="0" fontId="5" fillId="0" borderId="0" xfId="4" applyFont="1" applyBorder="1" applyAlignment="1">
      <alignment horizontal="center" vertical="center"/>
    </xf>
    <xf numFmtId="0" fontId="5" fillId="0" borderId="0" xfId="4" applyFont="1" applyFill="1" applyBorder="1" applyAlignment="1">
      <alignment vertical="center"/>
    </xf>
    <xf numFmtId="3" fontId="6" fillId="0" borderId="0" xfId="4" applyNumberFormat="1" applyFont="1" applyFill="1" applyBorder="1" applyAlignment="1">
      <alignment vertical="center"/>
    </xf>
    <xf numFmtId="164" fontId="6" fillId="0" borderId="0" xfId="4" applyNumberFormat="1" applyFont="1" applyFill="1" applyBorder="1" applyAlignment="1">
      <alignment horizontal="right" vertical="center"/>
    </xf>
    <xf numFmtId="0" fontId="5" fillId="0" borderId="2" xfId="4" applyFont="1" applyBorder="1" applyAlignment="1">
      <alignment horizontal="center" vertical="center"/>
    </xf>
    <xf numFmtId="0" fontId="5" fillId="0" borderId="22" xfId="4" applyFont="1" applyFill="1" applyBorder="1" applyAlignment="1">
      <alignment vertical="center"/>
    </xf>
    <xf numFmtId="3" fontId="6" fillId="0" borderId="23" xfId="4" applyNumberFormat="1" applyFont="1" applyFill="1" applyBorder="1" applyAlignment="1">
      <alignment vertical="center"/>
    </xf>
    <xf numFmtId="3" fontId="6" fillId="0" borderId="24" xfId="4" applyNumberFormat="1" applyFont="1" applyFill="1" applyBorder="1" applyAlignment="1">
      <alignment vertical="center"/>
    </xf>
    <xf numFmtId="3" fontId="6" fillId="0" borderId="3" xfId="4" applyNumberFormat="1" applyFont="1" applyFill="1" applyBorder="1" applyAlignment="1">
      <alignment vertical="center"/>
    </xf>
    <xf numFmtId="3" fontId="6" fillId="0" borderId="3" xfId="4" applyNumberFormat="1" applyFont="1" applyFill="1" applyBorder="1" applyAlignment="1">
      <alignment horizontal="right" vertical="center"/>
    </xf>
    <xf numFmtId="164" fontId="6" fillId="0" borderId="25" xfId="4" applyNumberFormat="1" applyFont="1" applyFill="1" applyBorder="1" applyAlignment="1">
      <alignment horizontal="right" vertical="center"/>
    </xf>
    <xf numFmtId="3" fontId="6" fillId="0" borderId="7" xfId="4" applyNumberFormat="1" applyFont="1" applyFill="1" applyBorder="1" applyAlignment="1">
      <alignment vertical="center"/>
    </xf>
    <xf numFmtId="3" fontId="6" fillId="0" borderId="9" xfId="4" applyNumberFormat="1" applyFont="1" applyFill="1" applyBorder="1" applyAlignment="1">
      <alignment vertical="center"/>
    </xf>
    <xf numFmtId="3" fontId="6" fillId="0" borderId="6" xfId="4" applyNumberFormat="1" applyFont="1" applyFill="1" applyBorder="1" applyAlignment="1">
      <alignment vertical="center"/>
    </xf>
    <xf numFmtId="0" fontId="1" fillId="0" borderId="0" xfId="4" applyFill="1" applyAlignment="1"/>
    <xf numFmtId="0" fontId="6" fillId="0" borderId="11" xfId="4" applyFont="1" applyBorder="1" applyAlignment="1">
      <alignment vertical="center"/>
    </xf>
    <xf numFmtId="3" fontId="6" fillId="0" borderId="14" xfId="4" applyNumberFormat="1" applyFont="1" applyFill="1" applyBorder="1" applyAlignment="1">
      <alignment vertical="center"/>
    </xf>
    <xf numFmtId="0" fontId="5" fillId="0" borderId="17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0" fontId="5" fillId="0" borderId="22" xfId="4" applyFont="1" applyBorder="1" applyAlignment="1">
      <alignment vertical="center"/>
    </xf>
    <xf numFmtId="0" fontId="1" fillId="0" borderId="0" xfId="4" applyFill="1" applyAlignment="1">
      <alignment horizontal="center" vertical="center"/>
    </xf>
    <xf numFmtId="0" fontId="14" fillId="0" borderId="0" xfId="4" applyFont="1" applyFill="1" applyAlignment="1">
      <alignment horizontal="center" vertical="center"/>
    </xf>
    <xf numFmtId="3" fontId="14" fillId="0" borderId="0" xfId="4" applyNumberFormat="1" applyFont="1" applyFill="1" applyAlignment="1">
      <alignment vertical="center"/>
    </xf>
    <xf numFmtId="0" fontId="14" fillId="0" borderId="0" xfId="4" applyFont="1" applyFill="1" applyAlignment="1">
      <alignment vertical="center"/>
    </xf>
    <xf numFmtId="3" fontId="8" fillId="0" borderId="0" xfId="4" applyNumberFormat="1" applyFont="1" applyFill="1" applyAlignment="1">
      <alignment vertical="center"/>
    </xf>
    <xf numFmtId="0" fontId="15" fillId="0" borderId="0" xfId="4" applyFont="1" applyFill="1" applyAlignment="1">
      <alignment vertical="center"/>
    </xf>
    <xf numFmtId="3" fontId="6" fillId="0" borderId="25" xfId="4" applyNumberFormat="1" applyFont="1" applyFill="1" applyBorder="1" applyAlignment="1">
      <alignment vertical="center"/>
    </xf>
    <xf numFmtId="1" fontId="1" fillId="0" borderId="0" xfId="4" applyNumberFormat="1" applyFont="1" applyFill="1" applyAlignment="1">
      <alignment vertical="center"/>
    </xf>
    <xf numFmtId="3" fontId="1" fillId="0" borderId="0" xfId="4" applyNumberFormat="1" applyFill="1" applyAlignment="1"/>
    <xf numFmtId="3" fontId="6" fillId="0" borderId="21" xfId="4" applyNumberFormat="1" applyFont="1" applyFill="1" applyBorder="1" applyAlignment="1">
      <alignment vertical="center"/>
    </xf>
    <xf numFmtId="11" fontId="8" fillId="0" borderId="0" xfId="4" applyNumberFormat="1" applyFont="1" applyFill="1" applyAlignment="1">
      <alignment vertical="center"/>
    </xf>
    <xf numFmtId="0" fontId="1" fillId="0" borderId="26" xfId="4" applyFill="1" applyBorder="1" applyAlignment="1">
      <alignment vertical="center"/>
    </xf>
    <xf numFmtId="0" fontId="1" fillId="0" borderId="26" xfId="4" applyFill="1" applyBorder="1" applyAlignment="1">
      <alignment horizontal="center" vertical="center"/>
    </xf>
    <xf numFmtId="0" fontId="14" fillId="0" borderId="26" xfId="4" applyFont="1" applyFill="1" applyBorder="1" applyAlignment="1">
      <alignment horizontal="center" vertical="center"/>
    </xf>
    <xf numFmtId="0" fontId="14" fillId="0" borderId="26" xfId="4" applyFont="1" applyFill="1" applyBorder="1" applyAlignment="1">
      <alignment vertical="center"/>
    </xf>
    <xf numFmtId="11" fontId="8" fillId="0" borderId="26" xfId="4" applyNumberFormat="1" applyFont="1" applyFill="1" applyBorder="1" applyAlignment="1">
      <alignment vertical="center"/>
    </xf>
    <xf numFmtId="0" fontId="15" fillId="0" borderId="26" xfId="4" applyFont="1" applyFill="1" applyBorder="1" applyAlignment="1">
      <alignment vertical="center"/>
    </xf>
    <xf numFmtId="11" fontId="15" fillId="0" borderId="0" xfId="4" applyNumberFormat="1" applyFont="1" applyFill="1" applyAlignment="1">
      <alignment vertical="center"/>
    </xf>
    <xf numFmtId="0" fontId="15" fillId="0" borderId="0" xfId="4" applyFont="1" applyFill="1"/>
    <xf numFmtId="3" fontId="5" fillId="0" borderId="0" xfId="4" applyNumberFormat="1" applyFont="1" applyFill="1"/>
    <xf numFmtId="3" fontId="6" fillId="0" borderId="0" xfId="4" applyNumberFormat="1" applyFont="1" applyFill="1"/>
    <xf numFmtId="3" fontId="1" fillId="0" borderId="0" xfId="4" applyNumberFormat="1" applyFont="1" applyFill="1"/>
    <xf numFmtId="3" fontId="11" fillId="3" borderId="23" xfId="4" applyNumberFormat="1" applyFont="1" applyFill="1" applyBorder="1" applyAlignment="1">
      <alignment horizontal="center" vertical="center" wrapText="1"/>
    </xf>
    <xf numFmtId="3" fontId="14" fillId="0" borderId="26" xfId="4" applyNumberFormat="1" applyFont="1" applyFill="1" applyBorder="1" applyAlignment="1">
      <alignment vertical="center"/>
    </xf>
    <xf numFmtId="3" fontId="1" fillId="0" borderId="0" xfId="4" applyNumberFormat="1" applyFill="1"/>
    <xf numFmtId="0" fontId="6" fillId="0" borderId="17" xfId="4" applyFont="1" applyBorder="1" applyAlignment="1">
      <alignment vertical="center"/>
    </xf>
    <xf numFmtId="3" fontId="6" fillId="0" borderId="12" xfId="4" applyNumberFormat="1" applyFont="1" applyFill="1" applyBorder="1" applyAlignment="1">
      <alignment vertical="center"/>
    </xf>
    <xf numFmtId="3" fontId="6" fillId="0" borderId="13" xfId="4" applyNumberFormat="1" applyFont="1" applyFill="1" applyBorder="1" applyAlignment="1">
      <alignment vertical="center"/>
    </xf>
    <xf numFmtId="3" fontId="12" fillId="0" borderId="0" xfId="4" applyNumberFormat="1" applyFont="1" applyFill="1" applyAlignment="1">
      <alignment vertical="center"/>
    </xf>
    <xf numFmtId="0" fontId="12" fillId="0" borderId="0" xfId="4" applyFont="1" applyFill="1" applyAlignment="1">
      <alignment vertical="center" wrapText="1"/>
    </xf>
    <xf numFmtId="165" fontId="6" fillId="0" borderId="23" xfId="4" applyNumberFormat="1" applyFont="1" applyFill="1" applyBorder="1" applyAlignment="1">
      <alignment vertical="center"/>
    </xf>
    <xf numFmtId="165" fontId="6" fillId="0" borderId="18" xfId="4" applyNumberFormat="1" applyFont="1" applyFill="1" applyBorder="1" applyAlignment="1">
      <alignment vertical="center"/>
    </xf>
    <xf numFmtId="4" fontId="4" fillId="0" borderId="0" xfId="8" applyNumberFormat="1" applyFont="1" applyFill="1" applyAlignment="1">
      <alignment horizontal="right"/>
    </xf>
    <xf numFmtId="0" fontId="1" fillId="0" borderId="0" xfId="8" applyFill="1"/>
    <xf numFmtId="0" fontId="1" fillId="0" borderId="0" xfId="8" applyNumberFormat="1" applyFill="1"/>
    <xf numFmtId="4" fontId="1" fillId="0" borderId="0" xfId="8" applyNumberFormat="1" applyFill="1"/>
    <xf numFmtId="1" fontId="1" fillId="0" borderId="0" xfId="8" applyNumberFormat="1" applyFill="1"/>
    <xf numFmtId="0" fontId="3" fillId="0" borderId="0" xfId="8" applyFont="1" applyFill="1" applyAlignment="1">
      <alignment horizontal="center" wrapText="1"/>
    </xf>
    <xf numFmtId="0" fontId="3" fillId="0" borderId="0" xfId="8" applyNumberFormat="1" applyFont="1" applyFill="1" applyAlignment="1">
      <alignment horizontal="center" wrapText="1"/>
    </xf>
    <xf numFmtId="4" fontId="3" fillId="0" borderId="0" xfId="8" applyNumberFormat="1" applyFont="1" applyFill="1" applyAlignment="1">
      <alignment horizontal="center" wrapText="1"/>
    </xf>
    <xf numFmtId="1" fontId="3" fillId="0" borderId="0" xfId="8" applyNumberFormat="1" applyFont="1" applyFill="1" applyAlignment="1">
      <alignment horizontal="center" wrapText="1"/>
    </xf>
    <xf numFmtId="0" fontId="1" fillId="0" borderId="0" xfId="8" applyFill="1" applyAlignment="1">
      <alignment wrapText="1"/>
    </xf>
    <xf numFmtId="0" fontId="4" fillId="0" borderId="0" xfId="8" applyNumberFormat="1" applyFont="1" applyFill="1" applyAlignment="1">
      <alignment horizontal="center"/>
    </xf>
    <xf numFmtId="0" fontId="4" fillId="0" borderId="0" xfId="8" applyNumberFormat="1" applyFont="1" applyFill="1" applyAlignment="1">
      <alignment horizontal="left"/>
    </xf>
    <xf numFmtId="1" fontId="4" fillId="0" borderId="0" xfId="8" applyNumberFormat="1" applyFont="1" applyFill="1" applyAlignment="1">
      <alignment horizontal="center"/>
    </xf>
    <xf numFmtId="4" fontId="4" fillId="0" borderId="0" xfId="8" applyNumberFormat="1" applyFont="1" applyFill="1" applyAlignment="1">
      <alignment horizontal="left"/>
    </xf>
    <xf numFmtId="0" fontId="3" fillId="0" borderId="1" xfId="8" applyFont="1" applyFill="1" applyBorder="1" applyAlignment="1">
      <alignment horizontal="center"/>
    </xf>
    <xf numFmtId="0" fontId="3" fillId="0" borderId="1" xfId="8" applyNumberFormat="1" applyFont="1" applyFill="1" applyBorder="1" applyAlignment="1">
      <alignment horizontal="left"/>
    </xf>
    <xf numFmtId="0" fontId="3" fillId="0" borderId="1" xfId="8" applyNumberFormat="1" applyFont="1" applyFill="1" applyBorder="1" applyAlignment="1">
      <alignment horizontal="center"/>
    </xf>
    <xf numFmtId="4" fontId="3" fillId="0" borderId="1" xfId="8" applyNumberFormat="1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4" fontId="3" fillId="0" borderId="1" xfId="8" applyNumberFormat="1" applyFont="1" applyFill="1" applyBorder="1" applyAlignment="1">
      <alignment horizontal="left"/>
    </xf>
    <xf numFmtId="4" fontId="3" fillId="0" borderId="1" xfId="8" applyNumberFormat="1" applyFont="1" applyFill="1" applyBorder="1" applyAlignment="1">
      <alignment horizontal="right"/>
    </xf>
    <xf numFmtId="0" fontId="3" fillId="0" borderId="0" xfId="8" applyFont="1" applyFill="1" applyBorder="1" applyAlignment="1">
      <alignment horizontal="center"/>
    </xf>
    <xf numFmtId="0" fontId="3" fillId="0" borderId="0" xfId="8" applyNumberFormat="1" applyFont="1" applyFill="1" applyBorder="1" applyAlignment="1">
      <alignment horizontal="left"/>
    </xf>
    <xf numFmtId="0" fontId="3" fillId="0" borderId="0" xfId="8" applyNumberFormat="1" applyFont="1" applyFill="1" applyBorder="1" applyAlignment="1">
      <alignment horizontal="center"/>
    </xf>
    <xf numFmtId="4" fontId="3" fillId="0" borderId="0" xfId="8" applyNumberFormat="1" applyFont="1" applyFill="1" applyBorder="1" applyAlignment="1">
      <alignment horizontal="center"/>
    </xf>
    <xf numFmtId="1" fontId="3" fillId="0" borderId="0" xfId="8" applyNumberFormat="1" applyFont="1" applyFill="1" applyBorder="1" applyAlignment="1">
      <alignment horizontal="center"/>
    </xf>
    <xf numFmtId="4" fontId="3" fillId="0" borderId="0" xfId="8" applyNumberFormat="1" applyFont="1" applyFill="1" applyBorder="1" applyAlignment="1">
      <alignment horizontal="left"/>
    </xf>
    <xf numFmtId="4" fontId="3" fillId="0" borderId="0" xfId="8" applyNumberFormat="1" applyFont="1" applyFill="1" applyBorder="1" applyAlignment="1">
      <alignment horizontal="right"/>
    </xf>
    <xf numFmtId="0" fontId="3" fillId="0" borderId="0" xfId="8" applyFont="1" applyFill="1" applyAlignment="1">
      <alignment horizontal="center"/>
    </xf>
    <xf numFmtId="0" fontId="3" fillId="0" borderId="0" xfId="8" applyNumberFormat="1" applyFont="1" applyFill="1" applyAlignment="1">
      <alignment horizontal="left"/>
    </xf>
    <xf numFmtId="0" fontId="3" fillId="0" borderId="0" xfId="8" applyNumberFormat="1" applyFont="1" applyFill="1" applyAlignment="1">
      <alignment horizontal="center"/>
    </xf>
    <xf numFmtId="4" fontId="3" fillId="0" borderId="0" xfId="8" applyNumberFormat="1" applyFont="1" applyFill="1" applyAlignment="1">
      <alignment horizontal="center"/>
    </xf>
    <xf numFmtId="1" fontId="3" fillId="0" borderId="0" xfId="8" applyNumberFormat="1" applyFont="1" applyFill="1" applyAlignment="1">
      <alignment horizontal="center"/>
    </xf>
    <xf numFmtId="4" fontId="3" fillId="0" borderId="0" xfId="8" applyNumberFormat="1" applyFont="1" applyFill="1" applyAlignment="1">
      <alignment horizontal="left"/>
    </xf>
    <xf numFmtId="4" fontId="3" fillId="0" borderId="0" xfId="8" applyNumberFormat="1" applyFont="1" applyFill="1" applyAlignment="1">
      <alignment horizontal="right"/>
    </xf>
    <xf numFmtId="165" fontId="4" fillId="0" borderId="0" xfId="8" applyNumberFormat="1" applyFont="1" applyFill="1" applyAlignment="1">
      <alignment horizontal="right"/>
    </xf>
    <xf numFmtId="0" fontId="11" fillId="3" borderId="27" xfId="4" applyFont="1" applyFill="1" applyBorder="1" applyAlignment="1">
      <alignment horizontal="center" vertical="center"/>
    </xf>
    <xf numFmtId="0" fontId="11" fillId="3" borderId="3" xfId="4" applyFont="1" applyFill="1" applyBorder="1" applyAlignment="1">
      <alignment horizontal="center" vertical="center"/>
    </xf>
    <xf numFmtId="0" fontId="11" fillId="3" borderId="25" xfId="4" applyFont="1" applyFill="1" applyBorder="1" applyAlignment="1">
      <alignment horizontal="center" vertical="center"/>
    </xf>
    <xf numFmtId="0" fontId="2" fillId="0" borderId="0" xfId="8" applyFont="1" applyFill="1" applyAlignment="1">
      <alignment horizontal="center" vertical="center"/>
    </xf>
  </cellXfs>
  <cellStyles count="11">
    <cellStyle name="Čárka 2" xfId="10"/>
    <cellStyle name="čárky 2" xfId="1"/>
    <cellStyle name="Excel Built-in Normal" xfId="2"/>
    <cellStyle name="Excel_BuiltIn_Chybně" xfId="3"/>
    <cellStyle name="Normální" xfId="0" builtinId="0"/>
    <cellStyle name="normální 2" xfId="4"/>
    <cellStyle name="normální 3" xfId="5"/>
    <cellStyle name="normální 4" xfId="6"/>
    <cellStyle name="Normální 5" xfId="8"/>
    <cellStyle name="Normální 6" xfId="9"/>
    <cellStyle name="Procenta 2" xfId="7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Y132"/>
  <sheetViews>
    <sheetView tabSelected="1" zoomScaleNormal="100" zoomScaleSheetLayoutView="75" workbookViewId="0">
      <selection activeCell="D10" sqref="D10"/>
    </sheetView>
  </sheetViews>
  <sheetFormatPr defaultRowHeight="15" outlineLevelRow="1" x14ac:dyDescent="0.2"/>
  <cols>
    <col min="1" max="1" width="2.140625" style="11" customWidth="1"/>
    <col min="2" max="2" width="5.28515625" style="6" bestFit="1" customWidth="1"/>
    <col min="3" max="3" width="60.42578125" style="6" customWidth="1"/>
    <col min="4" max="4" width="13.5703125" style="88" customWidth="1"/>
    <col min="5" max="8" width="13.5703125" style="11" customWidth="1"/>
    <col min="9" max="9" width="13.5703125" style="82" customWidth="1"/>
    <col min="10" max="10" width="19.7109375" style="82" customWidth="1"/>
    <col min="11" max="17" width="9.140625" style="11"/>
    <col min="18" max="18" width="11.28515625" style="11" customWidth="1"/>
    <col min="19" max="16384" width="9.140625" style="11"/>
  </cols>
  <sheetData>
    <row r="1" spans="2:25" s="2" customFormat="1" ht="15.75" x14ac:dyDescent="0.25">
      <c r="B1" s="1" t="s">
        <v>638</v>
      </c>
      <c r="D1" s="83"/>
      <c r="E1" s="3"/>
      <c r="F1" s="3"/>
      <c r="G1" s="3"/>
      <c r="H1" s="3"/>
    </row>
    <row r="2" spans="2:25" s="2" customFormat="1" ht="15.75" x14ac:dyDescent="0.25">
      <c r="B2" s="1" t="s">
        <v>384</v>
      </c>
      <c r="C2" s="4"/>
      <c r="D2" s="84"/>
      <c r="J2" s="5"/>
    </row>
    <row r="3" spans="2:25" ht="15.75" thickBot="1" x14ac:dyDescent="0.25">
      <c r="C3" s="7"/>
      <c r="D3" s="85"/>
      <c r="E3" s="8"/>
      <c r="F3" s="8"/>
      <c r="G3" s="8"/>
      <c r="H3" s="8"/>
      <c r="I3" s="9"/>
      <c r="J3" s="10"/>
    </row>
    <row r="4" spans="2:25" s="14" customFormat="1" ht="23.25" customHeight="1" thickBot="1" x14ac:dyDescent="0.25">
      <c r="B4" s="12"/>
      <c r="C4" s="13"/>
      <c r="D4" s="132" t="s">
        <v>385</v>
      </c>
      <c r="E4" s="133"/>
      <c r="F4" s="133"/>
      <c r="G4" s="133"/>
      <c r="H4" s="133"/>
      <c r="I4" s="133"/>
      <c r="J4" s="134"/>
    </row>
    <row r="5" spans="2:25" s="14" customFormat="1" ht="36" x14ac:dyDescent="0.2">
      <c r="B5" s="15" t="s">
        <v>386</v>
      </c>
      <c r="C5" s="16"/>
      <c r="D5" s="86" t="s">
        <v>639</v>
      </c>
      <c r="E5" s="17" t="s">
        <v>640</v>
      </c>
      <c r="F5" s="18" t="s">
        <v>483</v>
      </c>
      <c r="G5" s="18" t="s">
        <v>643</v>
      </c>
      <c r="H5" s="18" t="s">
        <v>642</v>
      </c>
      <c r="I5" s="18" t="s">
        <v>484</v>
      </c>
      <c r="J5" s="19" t="s">
        <v>677</v>
      </c>
      <c r="M5" s="20"/>
      <c r="N5" s="20"/>
      <c r="R5" s="93"/>
      <c r="X5" s="20"/>
      <c r="Y5" s="20"/>
    </row>
    <row r="6" spans="2:25" s="27" customFormat="1" ht="20.100000000000001" customHeight="1" x14ac:dyDescent="0.2">
      <c r="B6" s="21">
        <v>1</v>
      </c>
      <c r="C6" s="22" t="s">
        <v>387</v>
      </c>
      <c r="D6" s="23">
        <f t="shared" ref="D6:I6" si="0">SUM(D7:D8)</f>
        <v>427059.79000000004</v>
      </c>
      <c r="E6" s="24">
        <f t="shared" si="0"/>
        <v>338186.40259999997</v>
      </c>
      <c r="F6" s="25">
        <f t="shared" si="0"/>
        <v>383419.85253999999</v>
      </c>
      <c r="G6" s="25">
        <f t="shared" si="0"/>
        <v>207064.26418000006</v>
      </c>
      <c r="H6" s="25">
        <f t="shared" si="0"/>
        <v>331858.25225000002</v>
      </c>
      <c r="I6" s="25">
        <f t="shared" si="0"/>
        <v>388049.13846000005</v>
      </c>
      <c r="J6" s="26">
        <f>D6/I6-1</f>
        <v>0.10053018464315233</v>
      </c>
      <c r="L6" s="28"/>
      <c r="M6" s="28"/>
      <c r="N6" s="28"/>
      <c r="R6" s="92"/>
      <c r="X6" s="28"/>
      <c r="Y6" s="28"/>
    </row>
    <row r="7" spans="2:25" s="27" customFormat="1" ht="20.100000000000001" customHeight="1" outlineLevel="1" x14ac:dyDescent="0.2">
      <c r="B7" s="21"/>
      <c r="C7" s="29" t="s">
        <v>388</v>
      </c>
      <c r="D7" s="23">
        <f>'Výdaje 2022 provoz'!G847</f>
        <v>325775.01</v>
      </c>
      <c r="E7" s="24">
        <v>288245.74359999999</v>
      </c>
      <c r="F7" s="25">
        <v>308980.15649999998</v>
      </c>
      <c r="G7" s="25">
        <f>411761.79311-212747.45693</f>
        <v>199014.33618000004</v>
      </c>
      <c r="H7" s="25">
        <f>638430.66341-372748.3921</f>
        <v>265682.27131000004</v>
      </c>
      <c r="I7" s="25">
        <f>854117.19585-597510.41429</f>
        <v>256606.78156000003</v>
      </c>
      <c r="J7" s="26"/>
      <c r="L7" s="28"/>
      <c r="M7" s="28"/>
      <c r="N7" s="28"/>
      <c r="R7" s="92"/>
      <c r="X7" s="28"/>
      <c r="Y7" s="28"/>
    </row>
    <row r="8" spans="2:25" s="27" customFormat="1" ht="20.100000000000001" customHeight="1" outlineLevel="1" x14ac:dyDescent="0.2">
      <c r="B8" s="21"/>
      <c r="C8" s="29" t="s">
        <v>389</v>
      </c>
      <c r="D8" s="23">
        <f>'Výdaje 2022 investice'!G166</f>
        <v>101284.78</v>
      </c>
      <c r="E8" s="24">
        <v>49940.659</v>
      </c>
      <c r="F8" s="25">
        <v>74439.696039999995</v>
      </c>
      <c r="G8" s="25">
        <v>8049.9279999999999</v>
      </c>
      <c r="H8" s="25">
        <v>66175.980939999994</v>
      </c>
      <c r="I8" s="25">
        <v>131442.35690000001</v>
      </c>
      <c r="J8" s="26"/>
      <c r="L8" s="28"/>
      <c r="M8" s="28"/>
      <c r="N8" s="28"/>
      <c r="R8" s="92"/>
      <c r="X8" s="28"/>
      <c r="Y8" s="28"/>
    </row>
    <row r="9" spans="2:25" s="27" customFormat="1" ht="20.100000000000001" customHeight="1" x14ac:dyDescent="0.2">
      <c r="B9" s="21">
        <v>2</v>
      </c>
      <c r="C9" s="30" t="s">
        <v>390</v>
      </c>
      <c r="D9" s="23">
        <f>'Příjmy 2022'!G205</f>
        <v>336458.72</v>
      </c>
      <c r="E9" s="24">
        <f>SUM(E10:E12)</f>
        <v>304027.761</v>
      </c>
      <c r="F9" s="25">
        <f>SUM(F10:F12)</f>
        <v>331184.19831999997</v>
      </c>
      <c r="G9" s="25">
        <f>SUM(G10:G12)</f>
        <v>305517.49641000002</v>
      </c>
      <c r="H9" s="25">
        <f>SUM(H10:H12)</f>
        <v>387067.48590999999</v>
      </c>
      <c r="I9" s="25">
        <f>SUM(I10:I12)</f>
        <v>382791.79460999998</v>
      </c>
      <c r="J9" s="26">
        <f>D9/I9-1</f>
        <v>-0.12103988450746594</v>
      </c>
      <c r="R9" s="92"/>
    </row>
    <row r="10" spans="2:25" s="27" customFormat="1" ht="20.100000000000001" customHeight="1" outlineLevel="1" x14ac:dyDescent="0.2">
      <c r="B10" s="31"/>
      <c r="C10" s="32" t="s">
        <v>391</v>
      </c>
      <c r="D10" s="33"/>
      <c r="E10" s="34">
        <f>144375+59265</f>
        <v>203640</v>
      </c>
      <c r="F10" s="35">
        <f>147858.27+60238.54388</f>
        <v>208096.81387999997</v>
      </c>
      <c r="G10" s="35">
        <f>141824.80691+63786.85836</f>
        <v>205611.66527</v>
      </c>
      <c r="H10" s="35">
        <f>169864.61187+60725.30778</f>
        <v>230589.91965</v>
      </c>
      <c r="I10" s="35">
        <f>169452.15389+54477.66564</f>
        <v>223929.81952999998</v>
      </c>
      <c r="J10" s="36"/>
      <c r="R10" s="92"/>
    </row>
    <row r="11" spans="2:25" s="27" customFormat="1" ht="20.100000000000001" customHeight="1" outlineLevel="1" x14ac:dyDescent="0.2">
      <c r="B11" s="31"/>
      <c r="C11" s="32" t="s">
        <v>392</v>
      </c>
      <c r="D11" s="33"/>
      <c r="E11" s="34">
        <v>2020</v>
      </c>
      <c r="F11" s="35">
        <v>2020</v>
      </c>
      <c r="G11" s="35">
        <v>2286.9989999999998</v>
      </c>
      <c r="H11" s="35">
        <v>1654.499</v>
      </c>
      <c r="I11" s="35">
        <v>2775.7159999999999</v>
      </c>
      <c r="J11" s="36"/>
      <c r="R11" s="92"/>
    </row>
    <row r="12" spans="2:25" s="27" customFormat="1" ht="20.100000000000001" customHeight="1" outlineLevel="1" x14ac:dyDescent="0.2">
      <c r="B12" s="31"/>
      <c r="C12" s="32" t="s">
        <v>393</v>
      </c>
      <c r="D12" s="33"/>
      <c r="E12" s="34">
        <v>98367.760999999999</v>
      </c>
      <c r="F12" s="35">
        <v>121067.38443999999</v>
      </c>
      <c r="G12" s="35">
        <f>298366.28907-200747.45693</f>
        <v>97618.832140000013</v>
      </c>
      <c r="H12" s="35">
        <f>527571.45936-372748.3921</f>
        <v>154823.06725999998</v>
      </c>
      <c r="I12" s="35">
        <f>753596.67337-597510.41429</f>
        <v>156086.25907999999</v>
      </c>
      <c r="J12" s="36"/>
      <c r="R12" s="92"/>
    </row>
    <row r="13" spans="2:25" s="27" customFormat="1" ht="20.100000000000001" customHeight="1" thickBot="1" x14ac:dyDescent="0.25">
      <c r="B13" s="37">
        <v>3</v>
      </c>
      <c r="C13" s="38" t="s">
        <v>394</v>
      </c>
      <c r="D13" s="39">
        <f t="shared" ref="D13:I13" si="1">D9-D6</f>
        <v>-90601.070000000065</v>
      </c>
      <c r="E13" s="40">
        <f t="shared" si="1"/>
        <v>-34158.641599999974</v>
      </c>
      <c r="F13" s="41">
        <f t="shared" si="1"/>
        <v>-52235.654220000026</v>
      </c>
      <c r="G13" s="41">
        <f t="shared" si="1"/>
        <v>98453.232229999965</v>
      </c>
      <c r="H13" s="41">
        <f t="shared" si="1"/>
        <v>55209.233659999969</v>
      </c>
      <c r="I13" s="41">
        <f t="shared" si="1"/>
        <v>-5257.343850000063</v>
      </c>
      <c r="J13" s="42"/>
      <c r="L13" s="43" t="s">
        <v>395</v>
      </c>
      <c r="R13" s="92"/>
    </row>
    <row r="14" spans="2:25" s="27" customFormat="1" ht="20.100000000000001" customHeight="1" thickBot="1" x14ac:dyDescent="0.25">
      <c r="B14" s="44"/>
      <c r="C14" s="45"/>
      <c r="D14" s="46"/>
      <c r="E14" s="46"/>
      <c r="F14" s="46"/>
      <c r="G14" s="46"/>
      <c r="H14" s="46"/>
      <c r="I14" s="46"/>
      <c r="J14" s="47"/>
    </row>
    <row r="15" spans="2:25" s="27" customFormat="1" ht="20.100000000000001" customHeight="1" x14ac:dyDescent="0.2">
      <c r="B15" s="48">
        <v>4</v>
      </c>
      <c r="C15" s="49" t="s">
        <v>396</v>
      </c>
      <c r="D15" s="50">
        <v>0</v>
      </c>
      <c r="E15" s="51">
        <v>10000</v>
      </c>
      <c r="F15" s="52">
        <v>10000</v>
      </c>
      <c r="G15" s="52">
        <v>0</v>
      </c>
      <c r="H15" s="52"/>
      <c r="I15" s="53">
        <v>500</v>
      </c>
      <c r="J15" s="54">
        <f>D15/I15-1</f>
        <v>-1</v>
      </c>
    </row>
    <row r="16" spans="2:25" s="27" customFormat="1" ht="20.100000000000001" customHeight="1" collapsed="1" x14ac:dyDescent="0.2">
      <c r="B16" s="21">
        <v>5</v>
      </c>
      <c r="C16" s="22" t="s">
        <v>397</v>
      </c>
      <c r="D16" s="56">
        <f>'Výdaje 2022 provoz'!G855</f>
        <v>7952.72</v>
      </c>
      <c r="E16" s="57">
        <v>8149.7160000000003</v>
      </c>
      <c r="F16" s="55">
        <v>8149.7160000000003</v>
      </c>
      <c r="G16" s="55"/>
      <c r="H16" s="55">
        <v>13149.016</v>
      </c>
      <c r="I16" s="55">
        <v>12163.40191</v>
      </c>
      <c r="J16" s="26">
        <f>D16/I16-1</f>
        <v>-0.34617633628781408</v>
      </c>
      <c r="K16" s="28"/>
      <c r="L16" s="28"/>
    </row>
    <row r="17" spans="2:12" s="27" customFormat="1" ht="20.100000000000001" hidden="1" customHeight="1" outlineLevel="1" x14ac:dyDescent="0.2">
      <c r="B17" s="21"/>
      <c r="C17" s="22"/>
      <c r="D17" s="56"/>
      <c r="E17" s="57"/>
      <c r="F17" s="55"/>
      <c r="G17" s="55"/>
      <c r="H17" s="55"/>
      <c r="I17" s="55"/>
      <c r="J17" s="26"/>
    </row>
    <row r="18" spans="2:12" s="27" customFormat="1" ht="20.100000000000001" hidden="1" customHeight="1" outlineLevel="1" x14ac:dyDescent="0.2">
      <c r="B18" s="21"/>
      <c r="C18" s="22"/>
      <c r="D18" s="56"/>
      <c r="E18" s="57"/>
      <c r="F18" s="55"/>
      <c r="G18" s="55"/>
      <c r="H18" s="55"/>
      <c r="I18" s="55"/>
      <c r="J18" s="26"/>
    </row>
    <row r="19" spans="2:12" s="27" customFormat="1" ht="20.100000000000001" hidden="1" customHeight="1" outlineLevel="1" x14ac:dyDescent="0.2">
      <c r="B19" s="21"/>
      <c r="C19" s="22"/>
      <c r="D19" s="56"/>
      <c r="E19" s="57"/>
      <c r="F19" s="55"/>
      <c r="G19" s="55"/>
      <c r="H19" s="55"/>
      <c r="I19" s="55"/>
      <c r="J19" s="26"/>
    </row>
    <row r="20" spans="2:12" s="27" customFormat="1" ht="20.100000000000001" hidden="1" customHeight="1" outlineLevel="1" x14ac:dyDescent="0.2">
      <c r="B20" s="21"/>
      <c r="C20" s="22"/>
      <c r="D20" s="56"/>
      <c r="E20" s="57"/>
      <c r="F20" s="55"/>
      <c r="G20" s="55"/>
      <c r="H20" s="55"/>
      <c r="I20" s="55"/>
      <c r="J20" s="26"/>
    </row>
    <row r="21" spans="2:12" s="27" customFormat="1" ht="20.100000000000001" hidden="1" customHeight="1" outlineLevel="1" x14ac:dyDescent="0.2">
      <c r="B21" s="21"/>
      <c r="C21" s="22"/>
      <c r="D21" s="56"/>
      <c r="E21" s="57"/>
      <c r="F21" s="55"/>
      <c r="G21" s="55"/>
      <c r="H21" s="55"/>
      <c r="I21" s="55"/>
      <c r="J21" s="26"/>
    </row>
    <row r="22" spans="2:12" s="27" customFormat="1" ht="20.100000000000001" hidden="1" customHeight="1" outlineLevel="1" x14ac:dyDescent="0.2">
      <c r="B22" s="21"/>
      <c r="C22" s="22"/>
      <c r="D22" s="56"/>
      <c r="E22" s="57"/>
      <c r="F22" s="55"/>
      <c r="G22" s="55"/>
      <c r="H22" s="55"/>
      <c r="I22" s="55"/>
      <c r="J22" s="26"/>
    </row>
    <row r="23" spans="2:12" s="27" customFormat="1" ht="20.100000000000001" hidden="1" customHeight="1" outlineLevel="1" x14ac:dyDescent="0.2">
      <c r="B23" s="21"/>
      <c r="C23" s="22"/>
      <c r="D23" s="56"/>
      <c r="E23" s="57"/>
      <c r="F23" s="55"/>
      <c r="G23" s="55"/>
      <c r="H23" s="55"/>
      <c r="I23" s="55"/>
      <c r="J23" s="26"/>
    </row>
    <row r="24" spans="2:12" s="27" customFormat="1" ht="20.100000000000001" customHeight="1" x14ac:dyDescent="0.2">
      <c r="B24" s="21">
        <v>6</v>
      </c>
      <c r="C24" s="22" t="s">
        <v>398</v>
      </c>
      <c r="D24" s="56">
        <f>SUM(D25:D28)</f>
        <v>98553.79</v>
      </c>
      <c r="E24" s="57">
        <f>SUM(E25:E28)</f>
        <v>32308.357509999998</v>
      </c>
      <c r="F24" s="55">
        <f>SUM(F25:F28)</f>
        <v>50385.370219999997</v>
      </c>
      <c r="G24" s="55"/>
      <c r="H24" s="55">
        <f>SUM(H25:H28)</f>
        <v>-42060.217660000002</v>
      </c>
      <c r="I24" s="55">
        <f>SUM(I25:I28)</f>
        <v>16920.744999999999</v>
      </c>
      <c r="J24" s="26">
        <f>D24/I24-1</f>
        <v>4.8244356262091292</v>
      </c>
      <c r="L24" s="58"/>
    </row>
    <row r="25" spans="2:12" s="27" customFormat="1" ht="20.100000000000001" customHeight="1" x14ac:dyDescent="0.2">
      <c r="B25" s="21"/>
      <c r="C25" s="29" t="s">
        <v>399</v>
      </c>
      <c r="D25" s="56">
        <f>'Příjmy 2022'!G210</f>
        <v>98545.298999999999</v>
      </c>
      <c r="E25" s="57">
        <v>31196.867999999999</v>
      </c>
      <c r="F25" s="55">
        <v>49273.880709999998</v>
      </c>
      <c r="G25" s="55"/>
      <c r="H25" s="55">
        <v>-42060.217660000002</v>
      </c>
      <c r="I25" s="55">
        <v>16920.744999999999</v>
      </c>
      <c r="J25" s="26"/>
    </row>
    <row r="26" spans="2:12" s="27" customFormat="1" ht="20.100000000000001" customHeight="1" outlineLevel="1" x14ac:dyDescent="0.2">
      <c r="B26" s="21"/>
      <c r="C26" s="29" t="s">
        <v>400</v>
      </c>
      <c r="D26" s="56">
        <f>'Příjmy 2022'!G211</f>
        <v>8.4909999999999997</v>
      </c>
      <c r="E26" s="57">
        <v>6.0209999999999999</v>
      </c>
      <c r="F26" s="55">
        <v>6.0209999999999999</v>
      </c>
      <c r="G26" s="55"/>
      <c r="H26" s="55">
        <v>0</v>
      </c>
      <c r="I26" s="55"/>
      <c r="J26" s="26"/>
    </row>
    <row r="27" spans="2:12" s="27" customFormat="1" ht="20.100000000000001" customHeight="1" outlineLevel="1" x14ac:dyDescent="0.2">
      <c r="B27" s="31"/>
      <c r="C27" s="59" t="s">
        <v>401</v>
      </c>
      <c r="D27" s="90">
        <v>0</v>
      </c>
      <c r="E27" s="91">
        <v>0</v>
      </c>
      <c r="F27" s="60">
        <v>0</v>
      </c>
      <c r="G27" s="60"/>
      <c r="H27" s="60">
        <v>0</v>
      </c>
      <c r="I27" s="60">
        <v>0</v>
      </c>
      <c r="J27" s="36"/>
    </row>
    <row r="28" spans="2:12" s="27" customFormat="1" ht="20.100000000000001" customHeight="1" outlineLevel="1" thickBot="1" x14ac:dyDescent="0.25">
      <c r="B28" s="37"/>
      <c r="C28" s="89" t="s">
        <v>641</v>
      </c>
      <c r="D28" s="39">
        <v>0</v>
      </c>
      <c r="E28" s="40">
        <v>1105.4685099999999</v>
      </c>
      <c r="F28" s="41">
        <v>1105.4685099999999</v>
      </c>
      <c r="G28" s="41"/>
      <c r="H28" s="41">
        <v>0</v>
      </c>
      <c r="I28" s="41">
        <v>0</v>
      </c>
      <c r="J28" s="42"/>
    </row>
    <row r="29" spans="2:12" s="27" customFormat="1" ht="20.100000000000001" customHeight="1" thickBot="1" x14ac:dyDescent="0.25">
      <c r="B29" s="44"/>
      <c r="C29" s="62"/>
      <c r="D29" s="46"/>
      <c r="E29" s="46"/>
      <c r="F29" s="46"/>
      <c r="G29" s="46"/>
      <c r="H29" s="46"/>
      <c r="I29" s="46"/>
      <c r="J29" s="47"/>
    </row>
    <row r="30" spans="2:12" s="27" customFormat="1" ht="20.100000000000001" customHeight="1" x14ac:dyDescent="0.2">
      <c r="B30" s="48">
        <v>7</v>
      </c>
      <c r="C30" s="63" t="s">
        <v>485</v>
      </c>
      <c r="D30" s="50">
        <f t="shared" ref="D30:I30" si="2">D6+D16</f>
        <v>435012.51</v>
      </c>
      <c r="E30" s="51">
        <f t="shared" si="2"/>
        <v>346336.11859999999</v>
      </c>
      <c r="F30" s="52">
        <f t="shared" si="2"/>
        <v>391569.56854000001</v>
      </c>
      <c r="G30" s="52">
        <f t="shared" si="2"/>
        <v>207064.26418000006</v>
      </c>
      <c r="H30" s="52">
        <f t="shared" si="2"/>
        <v>345007.26825000002</v>
      </c>
      <c r="I30" s="52">
        <f t="shared" si="2"/>
        <v>400212.54037000006</v>
      </c>
      <c r="J30" s="54">
        <f>D30/I30-1</f>
        <v>8.6953721134842565E-2</v>
      </c>
    </row>
    <row r="31" spans="2:12" s="27" customFormat="1" ht="20.100000000000001" customHeight="1" thickBot="1" x14ac:dyDescent="0.25">
      <c r="B31" s="37">
        <v>8</v>
      </c>
      <c r="C31" s="61" t="s">
        <v>486</v>
      </c>
      <c r="D31" s="39">
        <f t="shared" ref="D31:I31" si="3">D9+D15+D24</f>
        <v>435012.50999999995</v>
      </c>
      <c r="E31" s="40">
        <f t="shared" si="3"/>
        <v>346336.11851</v>
      </c>
      <c r="F31" s="41">
        <f t="shared" si="3"/>
        <v>391569.56853999995</v>
      </c>
      <c r="G31" s="41">
        <f t="shared" si="3"/>
        <v>305517.49641000002</v>
      </c>
      <c r="H31" s="41">
        <f t="shared" si="3"/>
        <v>345007.26824999996</v>
      </c>
      <c r="I31" s="41">
        <f t="shared" si="3"/>
        <v>400212.53960999998</v>
      </c>
      <c r="J31" s="42">
        <f>D31/I31-1</f>
        <v>8.6953723198958111E-2</v>
      </c>
    </row>
    <row r="32" spans="2:12" s="27" customFormat="1" ht="20.100000000000001" customHeight="1" thickBot="1" x14ac:dyDescent="0.25">
      <c r="B32" s="64"/>
      <c r="C32" s="65"/>
      <c r="D32" s="66"/>
      <c r="E32" s="66"/>
      <c r="F32" s="67"/>
      <c r="G32" s="67"/>
      <c r="H32" s="67"/>
      <c r="I32" s="68"/>
      <c r="J32" s="69"/>
    </row>
    <row r="33" spans="1:15" s="27" customFormat="1" ht="20.100000000000001" customHeight="1" x14ac:dyDescent="0.2">
      <c r="B33" s="48">
        <v>9</v>
      </c>
      <c r="C33" s="63" t="s">
        <v>402</v>
      </c>
      <c r="D33" s="94">
        <f>D31-D30</f>
        <v>0</v>
      </c>
      <c r="E33" s="51">
        <f>E31-E30</f>
        <v>-8.9999986812472343E-5</v>
      </c>
      <c r="F33" s="52">
        <f>F31-F30</f>
        <v>0</v>
      </c>
      <c r="G33" s="52"/>
      <c r="H33" s="52">
        <f>H31-H30</f>
        <v>0</v>
      </c>
      <c r="I33" s="70">
        <f>I31-I30</f>
        <v>-7.6000008266419172E-4</v>
      </c>
      <c r="J33" s="71"/>
      <c r="N33" s="43"/>
      <c r="O33" s="72"/>
    </row>
    <row r="34" spans="1:15" s="27" customFormat="1" ht="20.100000000000001" customHeight="1" thickBot="1" x14ac:dyDescent="0.25">
      <c r="B34" s="37">
        <v>10</v>
      </c>
      <c r="C34" s="61" t="s">
        <v>403</v>
      </c>
      <c r="D34" s="95">
        <f>-D33</f>
        <v>0</v>
      </c>
      <c r="E34" s="40">
        <f>-E33</f>
        <v>8.9999986812472343E-5</v>
      </c>
      <c r="F34" s="41">
        <f>-F33</f>
        <v>0</v>
      </c>
      <c r="G34" s="41"/>
      <c r="H34" s="41">
        <f>-H33</f>
        <v>0</v>
      </c>
      <c r="I34" s="73">
        <f>-I33</f>
        <v>7.6000008266419172E-4</v>
      </c>
      <c r="J34" s="71"/>
      <c r="L34" s="72"/>
      <c r="M34" s="72"/>
      <c r="N34" s="72"/>
      <c r="O34" s="72"/>
    </row>
    <row r="35" spans="1:15" s="27" customFormat="1" ht="20.100000000000001" customHeight="1" x14ac:dyDescent="0.2">
      <c r="B35" s="64"/>
      <c r="C35" s="65"/>
      <c r="D35" s="66"/>
      <c r="E35" s="67"/>
      <c r="F35" s="67"/>
      <c r="G35" s="67"/>
      <c r="H35" s="67"/>
      <c r="I35" s="74"/>
      <c r="J35" s="69"/>
      <c r="L35" s="72"/>
      <c r="M35" s="72"/>
      <c r="N35" s="72"/>
      <c r="O35" s="72"/>
    </row>
    <row r="36" spans="1:15" s="27" customFormat="1" ht="20.100000000000001" customHeight="1" x14ac:dyDescent="0.2">
      <c r="B36" s="64"/>
      <c r="C36" s="65"/>
      <c r="D36" s="66"/>
      <c r="E36" s="67"/>
      <c r="F36" s="67"/>
      <c r="G36" s="67"/>
      <c r="H36" s="67"/>
      <c r="I36" s="74"/>
      <c r="J36" s="69"/>
      <c r="L36" s="72"/>
      <c r="M36" s="72"/>
      <c r="N36" s="72"/>
      <c r="O36" s="72"/>
    </row>
    <row r="37" spans="1:15" s="27" customFormat="1" ht="20.100000000000001" customHeight="1" thickBot="1" x14ac:dyDescent="0.25">
      <c r="A37" s="75"/>
      <c r="B37" s="76"/>
      <c r="C37" s="77"/>
      <c r="D37" s="87"/>
      <c r="E37" s="78"/>
      <c r="F37" s="78"/>
      <c r="G37" s="78"/>
      <c r="H37" s="78"/>
      <c r="I37" s="79"/>
      <c r="J37" s="80"/>
      <c r="L37" s="72"/>
      <c r="M37" s="72"/>
      <c r="N37" s="72"/>
      <c r="O37" s="72"/>
    </row>
    <row r="38" spans="1:15" s="27" customFormat="1" ht="20.100000000000001" customHeight="1" x14ac:dyDescent="0.2">
      <c r="B38" s="64"/>
      <c r="C38" s="65"/>
      <c r="D38" s="66"/>
      <c r="E38" s="67"/>
      <c r="F38" s="67"/>
      <c r="G38" s="67"/>
      <c r="H38" s="67"/>
      <c r="I38" s="74"/>
      <c r="J38" s="69"/>
      <c r="L38" s="72"/>
      <c r="M38" s="72"/>
      <c r="N38" s="72"/>
      <c r="O38" s="72"/>
    </row>
    <row r="39" spans="1:15" s="27" customFormat="1" ht="20.100000000000001" customHeight="1" x14ac:dyDescent="0.2">
      <c r="B39" s="64"/>
      <c r="C39" s="43"/>
      <c r="D39" s="66"/>
      <c r="E39" s="67"/>
      <c r="F39" s="67"/>
      <c r="G39" s="67"/>
      <c r="H39" s="67"/>
      <c r="I39" s="74"/>
      <c r="J39" s="69"/>
    </row>
    <row r="40" spans="1:15" s="27" customFormat="1" ht="20.100000000000001" customHeight="1" x14ac:dyDescent="0.2">
      <c r="B40" s="64"/>
      <c r="C40" s="43"/>
      <c r="D40" s="28"/>
      <c r="I40" s="81"/>
      <c r="J40" s="69"/>
    </row>
    <row r="41" spans="1:15" s="27" customFormat="1" ht="20.100000000000001" customHeight="1" x14ac:dyDescent="0.2">
      <c r="B41" s="64"/>
      <c r="C41" s="64"/>
      <c r="D41" s="28"/>
      <c r="I41" s="81"/>
      <c r="J41" s="69"/>
    </row>
    <row r="42" spans="1:15" s="27" customFormat="1" ht="20.100000000000001" customHeight="1" x14ac:dyDescent="0.2">
      <c r="B42" s="64"/>
      <c r="C42" s="64"/>
      <c r="D42" s="28"/>
      <c r="I42" s="81"/>
      <c r="J42" s="69"/>
    </row>
    <row r="43" spans="1:15" s="27" customFormat="1" ht="20.100000000000001" customHeight="1" x14ac:dyDescent="0.2">
      <c r="B43" s="64"/>
      <c r="C43" s="64"/>
      <c r="D43" s="28"/>
      <c r="I43" s="81"/>
      <c r="J43" s="69"/>
    </row>
    <row r="44" spans="1:15" s="27" customFormat="1" ht="20.100000000000001" customHeight="1" x14ac:dyDescent="0.2">
      <c r="B44" s="64"/>
      <c r="C44" s="64"/>
      <c r="D44" s="28"/>
      <c r="I44" s="81"/>
      <c r="J44" s="69"/>
    </row>
    <row r="45" spans="1:15" s="27" customFormat="1" ht="20.100000000000001" customHeight="1" x14ac:dyDescent="0.2">
      <c r="B45" s="64"/>
      <c r="C45" s="64"/>
      <c r="D45" s="28"/>
      <c r="I45" s="81"/>
      <c r="J45" s="69"/>
    </row>
    <row r="46" spans="1:15" s="27" customFormat="1" ht="20.100000000000001" customHeight="1" x14ac:dyDescent="0.2">
      <c r="B46" s="64"/>
      <c r="C46" s="64"/>
      <c r="D46" s="28"/>
      <c r="I46" s="69"/>
      <c r="J46" s="69"/>
    </row>
    <row r="47" spans="1:15" s="27" customFormat="1" ht="20.100000000000001" customHeight="1" x14ac:dyDescent="0.2">
      <c r="B47" s="64"/>
      <c r="C47" s="64"/>
      <c r="D47" s="28"/>
      <c r="I47" s="69"/>
      <c r="J47" s="69"/>
    </row>
    <row r="48" spans="1:15" s="27" customFormat="1" ht="20.100000000000001" customHeight="1" x14ac:dyDescent="0.2">
      <c r="B48" s="64"/>
      <c r="C48" s="64"/>
      <c r="D48" s="28"/>
      <c r="I48" s="69"/>
      <c r="J48" s="69"/>
    </row>
    <row r="49" spans="2:10" s="27" customFormat="1" ht="20.100000000000001" customHeight="1" x14ac:dyDescent="0.2">
      <c r="B49" s="64"/>
      <c r="C49" s="64"/>
      <c r="D49" s="28"/>
      <c r="I49" s="69"/>
      <c r="J49" s="69"/>
    </row>
    <row r="50" spans="2:10" s="27" customFormat="1" ht="20.100000000000001" customHeight="1" x14ac:dyDescent="0.2">
      <c r="B50" s="64"/>
      <c r="C50" s="64"/>
      <c r="D50" s="28"/>
      <c r="I50" s="69"/>
      <c r="J50" s="69"/>
    </row>
    <row r="51" spans="2:10" s="27" customFormat="1" ht="20.100000000000001" customHeight="1" x14ac:dyDescent="0.2">
      <c r="B51" s="64"/>
      <c r="C51" s="64"/>
      <c r="D51" s="28"/>
      <c r="I51" s="69"/>
      <c r="J51" s="69"/>
    </row>
    <row r="52" spans="2:10" s="27" customFormat="1" ht="20.100000000000001" customHeight="1" x14ac:dyDescent="0.2">
      <c r="B52" s="64"/>
      <c r="C52" s="64"/>
      <c r="D52" s="28"/>
      <c r="I52" s="69"/>
      <c r="J52" s="69"/>
    </row>
    <row r="53" spans="2:10" s="27" customFormat="1" ht="20.100000000000001" customHeight="1" x14ac:dyDescent="0.2">
      <c r="B53" s="64"/>
      <c r="C53" s="64"/>
      <c r="D53" s="28"/>
      <c r="I53" s="69"/>
      <c r="J53" s="69"/>
    </row>
    <row r="54" spans="2:10" s="27" customFormat="1" ht="20.100000000000001" customHeight="1" x14ac:dyDescent="0.2">
      <c r="B54" s="64"/>
      <c r="C54" s="64"/>
      <c r="D54" s="28"/>
      <c r="I54" s="69"/>
      <c r="J54" s="69"/>
    </row>
    <row r="55" spans="2:10" s="27" customFormat="1" ht="20.100000000000001" customHeight="1" x14ac:dyDescent="0.2">
      <c r="B55" s="64"/>
      <c r="C55" s="64"/>
      <c r="D55" s="28"/>
      <c r="I55" s="69"/>
      <c r="J55" s="69"/>
    </row>
    <row r="56" spans="2:10" s="27" customFormat="1" ht="20.100000000000001" customHeight="1" x14ac:dyDescent="0.2">
      <c r="B56" s="64"/>
      <c r="C56" s="64"/>
      <c r="D56" s="28"/>
      <c r="I56" s="69"/>
      <c r="J56" s="69"/>
    </row>
    <row r="57" spans="2:10" s="27" customFormat="1" ht="20.100000000000001" customHeight="1" x14ac:dyDescent="0.2">
      <c r="B57" s="64"/>
      <c r="C57" s="64"/>
      <c r="D57" s="28"/>
      <c r="I57" s="69"/>
      <c r="J57" s="69"/>
    </row>
    <row r="58" spans="2:10" s="27" customFormat="1" ht="20.100000000000001" customHeight="1" x14ac:dyDescent="0.2">
      <c r="B58" s="64"/>
      <c r="C58" s="64"/>
      <c r="D58" s="28"/>
      <c r="I58" s="69"/>
      <c r="J58" s="69"/>
    </row>
    <row r="59" spans="2:10" s="27" customFormat="1" ht="20.100000000000001" customHeight="1" x14ac:dyDescent="0.2">
      <c r="B59" s="64"/>
      <c r="C59" s="64"/>
      <c r="D59" s="28"/>
      <c r="I59" s="69"/>
      <c r="J59" s="69"/>
    </row>
    <row r="60" spans="2:10" s="27" customFormat="1" ht="20.100000000000001" customHeight="1" x14ac:dyDescent="0.2">
      <c r="B60" s="64"/>
      <c r="C60" s="64"/>
      <c r="D60" s="28"/>
      <c r="I60" s="69"/>
      <c r="J60" s="69"/>
    </row>
    <row r="61" spans="2:10" s="27" customFormat="1" ht="20.100000000000001" customHeight="1" x14ac:dyDescent="0.2">
      <c r="B61" s="64"/>
      <c r="C61" s="64"/>
      <c r="D61" s="28"/>
      <c r="I61" s="69"/>
      <c r="J61" s="69"/>
    </row>
    <row r="62" spans="2:10" s="27" customFormat="1" ht="20.100000000000001" customHeight="1" x14ac:dyDescent="0.2">
      <c r="B62" s="64"/>
      <c r="C62" s="64"/>
      <c r="D62" s="28"/>
      <c r="I62" s="69"/>
      <c r="J62" s="69"/>
    </row>
    <row r="63" spans="2:10" s="27" customFormat="1" ht="20.100000000000001" customHeight="1" x14ac:dyDescent="0.2">
      <c r="B63" s="64"/>
      <c r="C63" s="64"/>
      <c r="D63" s="28"/>
      <c r="I63" s="69"/>
      <c r="J63" s="69"/>
    </row>
    <row r="64" spans="2:10" s="27" customFormat="1" ht="20.100000000000001" customHeight="1" x14ac:dyDescent="0.2">
      <c r="B64" s="64"/>
      <c r="C64" s="64"/>
      <c r="D64" s="28"/>
      <c r="I64" s="69"/>
      <c r="J64" s="69"/>
    </row>
    <row r="65" spans="2:10" s="27" customFormat="1" ht="20.100000000000001" customHeight="1" x14ac:dyDescent="0.2">
      <c r="B65" s="64"/>
      <c r="C65" s="64"/>
      <c r="D65" s="28"/>
      <c r="I65" s="69"/>
      <c r="J65" s="69"/>
    </row>
    <row r="66" spans="2:10" s="27" customFormat="1" ht="20.100000000000001" customHeight="1" x14ac:dyDescent="0.2">
      <c r="B66" s="64"/>
      <c r="C66" s="64"/>
      <c r="D66" s="28"/>
      <c r="I66" s="69"/>
      <c r="J66" s="69"/>
    </row>
    <row r="67" spans="2:10" s="27" customFormat="1" ht="20.100000000000001" customHeight="1" x14ac:dyDescent="0.2">
      <c r="B67" s="64"/>
      <c r="C67" s="64"/>
      <c r="D67" s="28"/>
      <c r="I67" s="69"/>
      <c r="J67" s="69"/>
    </row>
    <row r="68" spans="2:10" s="27" customFormat="1" ht="20.100000000000001" customHeight="1" x14ac:dyDescent="0.2">
      <c r="B68" s="64"/>
      <c r="C68" s="64"/>
      <c r="D68" s="28"/>
      <c r="I68" s="69"/>
      <c r="J68" s="69"/>
    </row>
    <row r="69" spans="2:10" s="27" customFormat="1" ht="20.100000000000001" customHeight="1" x14ac:dyDescent="0.2">
      <c r="B69" s="64"/>
      <c r="C69" s="64"/>
      <c r="D69" s="28"/>
      <c r="I69" s="69"/>
      <c r="J69" s="69"/>
    </row>
    <row r="70" spans="2:10" s="27" customFormat="1" ht="20.100000000000001" customHeight="1" x14ac:dyDescent="0.2">
      <c r="B70" s="64"/>
      <c r="C70" s="64"/>
      <c r="D70" s="28"/>
      <c r="I70" s="69"/>
      <c r="J70" s="69"/>
    </row>
    <row r="71" spans="2:10" s="27" customFormat="1" ht="20.100000000000001" customHeight="1" x14ac:dyDescent="0.2">
      <c r="B71" s="64"/>
      <c r="C71" s="64"/>
      <c r="D71" s="28"/>
      <c r="I71" s="69"/>
      <c r="J71" s="69"/>
    </row>
    <row r="72" spans="2:10" s="27" customFormat="1" ht="20.100000000000001" customHeight="1" x14ac:dyDescent="0.2">
      <c r="B72" s="64"/>
      <c r="C72" s="64"/>
      <c r="D72" s="28"/>
      <c r="I72" s="69"/>
      <c r="J72" s="69"/>
    </row>
    <row r="73" spans="2:10" s="27" customFormat="1" ht="20.100000000000001" customHeight="1" x14ac:dyDescent="0.2">
      <c r="B73" s="64"/>
      <c r="C73" s="64"/>
      <c r="D73" s="28"/>
      <c r="I73" s="69"/>
      <c r="J73" s="69"/>
    </row>
    <row r="74" spans="2:10" s="27" customFormat="1" ht="20.100000000000001" customHeight="1" x14ac:dyDescent="0.2">
      <c r="B74" s="64"/>
      <c r="C74" s="64"/>
      <c r="D74" s="28"/>
      <c r="I74" s="69"/>
      <c r="J74" s="69"/>
    </row>
    <row r="75" spans="2:10" s="27" customFormat="1" ht="20.100000000000001" customHeight="1" x14ac:dyDescent="0.2">
      <c r="B75" s="64"/>
      <c r="C75" s="64"/>
      <c r="D75" s="28"/>
      <c r="I75" s="69"/>
      <c r="J75" s="69"/>
    </row>
    <row r="76" spans="2:10" s="27" customFormat="1" ht="20.100000000000001" customHeight="1" x14ac:dyDescent="0.2">
      <c r="B76" s="64"/>
      <c r="C76" s="64"/>
      <c r="D76" s="28"/>
      <c r="I76" s="69"/>
      <c r="J76" s="69"/>
    </row>
    <row r="77" spans="2:10" s="27" customFormat="1" ht="20.100000000000001" customHeight="1" x14ac:dyDescent="0.2">
      <c r="B77" s="64"/>
      <c r="C77" s="64"/>
      <c r="D77" s="28"/>
      <c r="I77" s="69"/>
      <c r="J77" s="69"/>
    </row>
    <row r="78" spans="2:10" s="27" customFormat="1" ht="20.100000000000001" customHeight="1" x14ac:dyDescent="0.2">
      <c r="B78" s="64"/>
      <c r="C78" s="64"/>
      <c r="D78" s="28"/>
      <c r="I78" s="69"/>
      <c r="J78" s="69"/>
    </row>
    <row r="79" spans="2:10" s="27" customFormat="1" ht="20.100000000000001" customHeight="1" x14ac:dyDescent="0.2">
      <c r="B79" s="64"/>
      <c r="C79" s="64"/>
      <c r="D79" s="28"/>
      <c r="I79" s="69"/>
      <c r="J79" s="69"/>
    </row>
    <row r="80" spans="2:10" s="27" customFormat="1" ht="20.100000000000001" customHeight="1" x14ac:dyDescent="0.2">
      <c r="B80" s="64"/>
      <c r="C80" s="64"/>
      <c r="D80" s="28"/>
      <c r="I80" s="69"/>
      <c r="J80" s="69"/>
    </row>
    <row r="81" spans="2:10" s="27" customFormat="1" ht="20.100000000000001" customHeight="1" x14ac:dyDescent="0.2">
      <c r="B81" s="64"/>
      <c r="C81" s="64"/>
      <c r="D81" s="28"/>
      <c r="I81" s="69"/>
      <c r="J81" s="69"/>
    </row>
    <row r="82" spans="2:10" s="27" customFormat="1" ht="20.100000000000001" customHeight="1" x14ac:dyDescent="0.2">
      <c r="B82" s="64"/>
      <c r="C82" s="64"/>
      <c r="D82" s="28"/>
      <c r="I82" s="69"/>
      <c r="J82" s="69"/>
    </row>
    <row r="83" spans="2:10" s="27" customFormat="1" ht="20.100000000000001" customHeight="1" x14ac:dyDescent="0.2">
      <c r="B83" s="64"/>
      <c r="C83" s="64"/>
      <c r="D83" s="28"/>
      <c r="I83" s="69"/>
      <c r="J83" s="69"/>
    </row>
    <row r="84" spans="2:10" s="27" customFormat="1" ht="20.100000000000001" customHeight="1" x14ac:dyDescent="0.2">
      <c r="B84" s="64"/>
      <c r="C84" s="64"/>
      <c r="D84" s="28"/>
      <c r="I84" s="69"/>
      <c r="J84" s="69"/>
    </row>
    <row r="85" spans="2:10" s="27" customFormat="1" ht="20.100000000000001" customHeight="1" x14ac:dyDescent="0.2">
      <c r="B85" s="64"/>
      <c r="C85" s="64"/>
      <c r="D85" s="28"/>
      <c r="I85" s="69"/>
      <c r="J85" s="69"/>
    </row>
    <row r="86" spans="2:10" s="27" customFormat="1" ht="20.100000000000001" customHeight="1" x14ac:dyDescent="0.2">
      <c r="B86" s="64"/>
      <c r="C86" s="64"/>
      <c r="D86" s="28"/>
      <c r="I86" s="69"/>
      <c r="J86" s="69"/>
    </row>
    <row r="87" spans="2:10" s="27" customFormat="1" ht="20.100000000000001" customHeight="1" x14ac:dyDescent="0.2">
      <c r="B87" s="64"/>
      <c r="C87" s="64"/>
      <c r="D87" s="28"/>
      <c r="I87" s="69"/>
      <c r="J87" s="69"/>
    </row>
    <row r="88" spans="2:10" s="27" customFormat="1" ht="20.100000000000001" customHeight="1" x14ac:dyDescent="0.2">
      <c r="B88" s="64"/>
      <c r="C88" s="64"/>
      <c r="D88" s="28"/>
      <c r="I88" s="69"/>
      <c r="J88" s="69"/>
    </row>
    <row r="89" spans="2:10" s="27" customFormat="1" ht="20.100000000000001" customHeight="1" x14ac:dyDescent="0.2">
      <c r="B89" s="64"/>
      <c r="C89" s="64"/>
      <c r="D89" s="28"/>
      <c r="I89" s="69"/>
      <c r="J89" s="69"/>
    </row>
    <row r="90" spans="2:10" s="27" customFormat="1" ht="20.100000000000001" customHeight="1" x14ac:dyDescent="0.2">
      <c r="B90" s="64"/>
      <c r="C90" s="64"/>
      <c r="D90" s="28"/>
      <c r="I90" s="69"/>
      <c r="J90" s="69"/>
    </row>
    <row r="91" spans="2:10" s="27" customFormat="1" ht="20.100000000000001" customHeight="1" x14ac:dyDescent="0.2">
      <c r="B91" s="64"/>
      <c r="C91" s="64"/>
      <c r="D91" s="28"/>
      <c r="I91" s="69"/>
      <c r="J91" s="69"/>
    </row>
    <row r="92" spans="2:10" s="27" customFormat="1" ht="20.100000000000001" customHeight="1" x14ac:dyDescent="0.2">
      <c r="B92" s="64"/>
      <c r="C92" s="64"/>
      <c r="D92" s="28"/>
      <c r="I92" s="69"/>
      <c r="J92" s="69"/>
    </row>
    <row r="93" spans="2:10" s="27" customFormat="1" ht="20.100000000000001" customHeight="1" x14ac:dyDescent="0.2">
      <c r="B93" s="64"/>
      <c r="C93" s="64"/>
      <c r="D93" s="28"/>
      <c r="I93" s="69"/>
      <c r="J93" s="69"/>
    </row>
    <row r="94" spans="2:10" s="27" customFormat="1" ht="20.100000000000001" customHeight="1" x14ac:dyDescent="0.2">
      <c r="B94" s="64"/>
      <c r="C94" s="64"/>
      <c r="D94" s="28"/>
      <c r="I94" s="69"/>
      <c r="J94" s="69"/>
    </row>
    <row r="95" spans="2:10" s="27" customFormat="1" ht="20.100000000000001" customHeight="1" x14ac:dyDescent="0.2">
      <c r="B95" s="64"/>
      <c r="C95" s="64"/>
      <c r="D95" s="28"/>
      <c r="I95" s="69"/>
      <c r="J95" s="69"/>
    </row>
    <row r="96" spans="2:10" s="27" customFormat="1" ht="20.100000000000001" customHeight="1" x14ac:dyDescent="0.2">
      <c r="B96" s="64"/>
      <c r="C96" s="64"/>
      <c r="D96" s="28"/>
      <c r="I96" s="69"/>
      <c r="J96" s="69"/>
    </row>
    <row r="97" spans="2:10" s="27" customFormat="1" ht="20.100000000000001" customHeight="1" x14ac:dyDescent="0.2">
      <c r="B97" s="64"/>
      <c r="C97" s="64"/>
      <c r="D97" s="28"/>
      <c r="I97" s="69"/>
      <c r="J97" s="69"/>
    </row>
    <row r="98" spans="2:10" s="27" customFormat="1" ht="20.100000000000001" customHeight="1" x14ac:dyDescent="0.2">
      <c r="B98" s="64"/>
      <c r="C98" s="64"/>
      <c r="D98" s="28"/>
      <c r="I98" s="69"/>
      <c r="J98" s="69"/>
    </row>
    <row r="99" spans="2:10" s="27" customFormat="1" ht="20.100000000000001" customHeight="1" x14ac:dyDescent="0.2">
      <c r="B99" s="64"/>
      <c r="C99" s="64"/>
      <c r="D99" s="28"/>
      <c r="I99" s="69"/>
      <c r="J99" s="69"/>
    </row>
    <row r="100" spans="2:10" s="27" customFormat="1" ht="20.100000000000001" customHeight="1" x14ac:dyDescent="0.2">
      <c r="B100" s="64"/>
      <c r="C100" s="64"/>
      <c r="D100" s="28"/>
      <c r="I100" s="69"/>
      <c r="J100" s="69"/>
    </row>
    <row r="101" spans="2:10" s="27" customFormat="1" ht="20.100000000000001" customHeight="1" x14ac:dyDescent="0.2">
      <c r="B101" s="64"/>
      <c r="C101" s="64"/>
      <c r="D101" s="28"/>
      <c r="I101" s="69"/>
      <c r="J101" s="69"/>
    </row>
    <row r="102" spans="2:10" s="27" customFormat="1" ht="20.100000000000001" customHeight="1" x14ac:dyDescent="0.2">
      <c r="B102" s="64"/>
      <c r="C102" s="64"/>
      <c r="D102" s="28"/>
      <c r="I102" s="69"/>
      <c r="J102" s="69"/>
    </row>
    <row r="103" spans="2:10" s="27" customFormat="1" ht="20.100000000000001" customHeight="1" x14ac:dyDescent="0.2">
      <c r="B103" s="64"/>
      <c r="C103" s="64"/>
      <c r="D103" s="28"/>
      <c r="I103" s="69"/>
      <c r="J103" s="69"/>
    </row>
    <row r="104" spans="2:10" s="27" customFormat="1" ht="20.100000000000001" customHeight="1" x14ac:dyDescent="0.2">
      <c r="B104" s="64"/>
      <c r="C104" s="64"/>
      <c r="D104" s="28"/>
      <c r="I104" s="69"/>
      <c r="J104" s="69"/>
    </row>
    <row r="105" spans="2:10" s="27" customFormat="1" ht="20.100000000000001" customHeight="1" x14ac:dyDescent="0.2">
      <c r="B105" s="64"/>
      <c r="C105" s="64"/>
      <c r="D105" s="28"/>
      <c r="I105" s="69"/>
      <c r="J105" s="69"/>
    </row>
    <row r="106" spans="2:10" s="27" customFormat="1" ht="20.100000000000001" customHeight="1" x14ac:dyDescent="0.2">
      <c r="B106" s="64"/>
      <c r="C106" s="64"/>
      <c r="D106" s="28"/>
      <c r="I106" s="69"/>
      <c r="J106" s="69"/>
    </row>
    <row r="107" spans="2:10" s="27" customFormat="1" ht="20.100000000000001" customHeight="1" x14ac:dyDescent="0.2">
      <c r="B107" s="64"/>
      <c r="C107" s="64"/>
      <c r="D107" s="28"/>
      <c r="I107" s="69"/>
      <c r="J107" s="69"/>
    </row>
    <row r="108" spans="2:10" s="27" customFormat="1" ht="20.100000000000001" customHeight="1" x14ac:dyDescent="0.2">
      <c r="B108" s="64"/>
      <c r="C108" s="64"/>
      <c r="D108" s="28"/>
      <c r="I108" s="69"/>
      <c r="J108" s="69"/>
    </row>
    <row r="109" spans="2:10" s="27" customFormat="1" ht="20.100000000000001" customHeight="1" x14ac:dyDescent="0.2">
      <c r="B109" s="64"/>
      <c r="C109" s="64"/>
      <c r="D109" s="28"/>
      <c r="I109" s="69"/>
      <c r="J109" s="69"/>
    </row>
    <row r="110" spans="2:10" ht="20.100000000000001" customHeight="1" x14ac:dyDescent="0.2"/>
    <row r="111" spans="2:10" ht="20.100000000000001" customHeight="1" x14ac:dyDescent="0.2"/>
    <row r="112" spans="2:10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</sheetData>
  <mergeCells count="1">
    <mergeCell ref="D4:J4"/>
  </mergeCells>
  <conditionalFormatting sqref="J9:J31">
    <cfRule type="cellIs" dxfId="1" priority="2" stopIfTrue="1" operator="greaterThan">
      <formula>0.01</formula>
    </cfRule>
  </conditionalFormatting>
  <conditionalFormatting sqref="J6:J8">
    <cfRule type="cellIs" dxfId="0" priority="1" stopIfTrue="1" operator="greaterThan">
      <formula>0.01</formula>
    </cfRule>
  </conditionalFormatting>
  <pageMargins left="0.78740157499999996" right="0.78740157499999996" top="0.984251969" bottom="0.984251969" header="0.4921259845" footer="0.4921259845"/>
  <pageSetup paperSize="9" scale="64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2:L264"/>
  <sheetViews>
    <sheetView workbookViewId="0">
      <pane ySplit="4" topLeftCell="A5" activePane="bottomLeft" state="frozen"/>
      <selection pane="bottomLeft" activeCell="F37" sqref="F37"/>
    </sheetView>
  </sheetViews>
  <sheetFormatPr defaultRowHeight="12.75" x14ac:dyDescent="0.2"/>
  <cols>
    <col min="1" max="1" width="9.5703125" style="97" bestFit="1" customWidth="1"/>
    <col min="2" max="2" width="23" style="98" customWidth="1"/>
    <col min="3" max="3" width="6.140625" style="98" bestFit="1" customWidth="1"/>
    <col min="4" max="4" width="6.140625" style="99" bestFit="1" customWidth="1"/>
    <col min="5" max="5" width="14.140625" style="100" bestFit="1" customWidth="1"/>
    <col min="6" max="6" width="45.28515625" style="99" customWidth="1"/>
    <col min="7" max="7" width="16.85546875" style="99" bestFit="1" customWidth="1"/>
    <col min="8" max="8" width="9.140625" style="97"/>
    <col min="9" max="12" width="16.85546875" style="99" bestFit="1" customWidth="1"/>
    <col min="13" max="255" width="9.140625" style="97"/>
    <col min="256" max="256" width="9.5703125" style="97" bestFit="1" customWidth="1"/>
    <col min="257" max="257" width="38" style="97" bestFit="1" customWidth="1"/>
    <col min="258" max="259" width="6.140625" style="97" bestFit="1" customWidth="1"/>
    <col min="260" max="260" width="14.140625" style="97" bestFit="1" customWidth="1"/>
    <col min="261" max="261" width="51.42578125" style="97" bestFit="1" customWidth="1"/>
    <col min="262" max="262" width="16.28515625" style="97" bestFit="1" customWidth="1"/>
    <col min="263" max="263" width="16.85546875" style="97" bestFit="1" customWidth="1"/>
    <col min="264" max="264" width="9.140625" style="97"/>
    <col min="265" max="268" width="16.85546875" style="97" bestFit="1" customWidth="1"/>
    <col min="269" max="511" width="9.140625" style="97"/>
    <col min="512" max="512" width="9.5703125" style="97" bestFit="1" customWidth="1"/>
    <col min="513" max="513" width="38" style="97" bestFit="1" customWidth="1"/>
    <col min="514" max="515" width="6.140625" style="97" bestFit="1" customWidth="1"/>
    <col min="516" max="516" width="14.140625" style="97" bestFit="1" customWidth="1"/>
    <col min="517" max="517" width="51.42578125" style="97" bestFit="1" customWidth="1"/>
    <col min="518" max="518" width="16.28515625" style="97" bestFit="1" customWidth="1"/>
    <col min="519" max="519" width="16.85546875" style="97" bestFit="1" customWidth="1"/>
    <col min="520" max="520" width="9.140625" style="97"/>
    <col min="521" max="524" width="16.85546875" style="97" bestFit="1" customWidth="1"/>
    <col min="525" max="767" width="9.140625" style="97"/>
    <col min="768" max="768" width="9.5703125" style="97" bestFit="1" customWidth="1"/>
    <col min="769" max="769" width="38" style="97" bestFit="1" customWidth="1"/>
    <col min="770" max="771" width="6.140625" style="97" bestFit="1" customWidth="1"/>
    <col min="772" max="772" width="14.140625" style="97" bestFit="1" customWidth="1"/>
    <col min="773" max="773" width="51.42578125" style="97" bestFit="1" customWidth="1"/>
    <col min="774" max="774" width="16.28515625" style="97" bestFit="1" customWidth="1"/>
    <col min="775" max="775" width="16.85546875" style="97" bestFit="1" customWidth="1"/>
    <col min="776" max="776" width="9.140625" style="97"/>
    <col min="777" max="780" width="16.85546875" style="97" bestFit="1" customWidth="1"/>
    <col min="781" max="1023" width="9.140625" style="97"/>
    <col min="1024" max="1024" width="9.5703125" style="97" bestFit="1" customWidth="1"/>
    <col min="1025" max="1025" width="38" style="97" bestFit="1" customWidth="1"/>
    <col min="1026" max="1027" width="6.140625" style="97" bestFit="1" customWidth="1"/>
    <col min="1028" max="1028" width="14.140625" style="97" bestFit="1" customWidth="1"/>
    <col min="1029" max="1029" width="51.42578125" style="97" bestFit="1" customWidth="1"/>
    <col min="1030" max="1030" width="16.28515625" style="97" bestFit="1" customWidth="1"/>
    <col min="1031" max="1031" width="16.85546875" style="97" bestFit="1" customWidth="1"/>
    <col min="1032" max="1032" width="9.140625" style="97"/>
    <col min="1033" max="1036" width="16.85546875" style="97" bestFit="1" customWidth="1"/>
    <col min="1037" max="1279" width="9.140625" style="97"/>
    <col min="1280" max="1280" width="9.5703125" style="97" bestFit="1" customWidth="1"/>
    <col min="1281" max="1281" width="38" style="97" bestFit="1" customWidth="1"/>
    <col min="1282" max="1283" width="6.140625" style="97" bestFit="1" customWidth="1"/>
    <col min="1284" max="1284" width="14.140625" style="97" bestFit="1" customWidth="1"/>
    <col min="1285" max="1285" width="51.42578125" style="97" bestFit="1" customWidth="1"/>
    <col min="1286" max="1286" width="16.28515625" style="97" bestFit="1" customWidth="1"/>
    <col min="1287" max="1287" width="16.85546875" style="97" bestFit="1" customWidth="1"/>
    <col min="1288" max="1288" width="9.140625" style="97"/>
    <col min="1289" max="1292" width="16.85546875" style="97" bestFit="1" customWidth="1"/>
    <col min="1293" max="1535" width="9.140625" style="97"/>
    <col min="1536" max="1536" width="9.5703125" style="97" bestFit="1" customWidth="1"/>
    <col min="1537" max="1537" width="38" style="97" bestFit="1" customWidth="1"/>
    <col min="1538" max="1539" width="6.140625" style="97" bestFit="1" customWidth="1"/>
    <col min="1540" max="1540" width="14.140625" style="97" bestFit="1" customWidth="1"/>
    <col min="1541" max="1541" width="51.42578125" style="97" bestFit="1" customWidth="1"/>
    <col min="1542" max="1542" width="16.28515625" style="97" bestFit="1" customWidth="1"/>
    <col min="1543" max="1543" width="16.85546875" style="97" bestFit="1" customWidth="1"/>
    <col min="1544" max="1544" width="9.140625" style="97"/>
    <col min="1545" max="1548" width="16.85546875" style="97" bestFit="1" customWidth="1"/>
    <col min="1549" max="1791" width="9.140625" style="97"/>
    <col min="1792" max="1792" width="9.5703125" style="97" bestFit="1" customWidth="1"/>
    <col min="1793" max="1793" width="38" style="97" bestFit="1" customWidth="1"/>
    <col min="1794" max="1795" width="6.140625" style="97" bestFit="1" customWidth="1"/>
    <col min="1796" max="1796" width="14.140625" style="97" bestFit="1" customWidth="1"/>
    <col min="1797" max="1797" width="51.42578125" style="97" bestFit="1" customWidth="1"/>
    <col min="1798" max="1798" width="16.28515625" style="97" bestFit="1" customWidth="1"/>
    <col min="1799" max="1799" width="16.85546875" style="97" bestFit="1" customWidth="1"/>
    <col min="1800" max="1800" width="9.140625" style="97"/>
    <col min="1801" max="1804" width="16.85546875" style="97" bestFit="1" customWidth="1"/>
    <col min="1805" max="2047" width="9.140625" style="97"/>
    <col min="2048" max="2048" width="9.5703125" style="97" bestFit="1" customWidth="1"/>
    <col min="2049" max="2049" width="38" style="97" bestFit="1" customWidth="1"/>
    <col min="2050" max="2051" width="6.140625" style="97" bestFit="1" customWidth="1"/>
    <col min="2052" max="2052" width="14.140625" style="97" bestFit="1" customWidth="1"/>
    <col min="2053" max="2053" width="51.42578125" style="97" bestFit="1" customWidth="1"/>
    <col min="2054" max="2054" width="16.28515625" style="97" bestFit="1" customWidth="1"/>
    <col min="2055" max="2055" width="16.85546875" style="97" bestFit="1" customWidth="1"/>
    <col min="2056" max="2056" width="9.140625" style="97"/>
    <col min="2057" max="2060" width="16.85546875" style="97" bestFit="1" customWidth="1"/>
    <col min="2061" max="2303" width="9.140625" style="97"/>
    <col min="2304" max="2304" width="9.5703125" style="97" bestFit="1" customWidth="1"/>
    <col min="2305" max="2305" width="38" style="97" bestFit="1" customWidth="1"/>
    <col min="2306" max="2307" width="6.140625" style="97" bestFit="1" customWidth="1"/>
    <col min="2308" max="2308" width="14.140625" style="97" bestFit="1" customWidth="1"/>
    <col min="2309" max="2309" width="51.42578125" style="97" bestFit="1" customWidth="1"/>
    <col min="2310" max="2310" width="16.28515625" style="97" bestFit="1" customWidth="1"/>
    <col min="2311" max="2311" width="16.85546875" style="97" bestFit="1" customWidth="1"/>
    <col min="2312" max="2312" width="9.140625" style="97"/>
    <col min="2313" max="2316" width="16.85546875" style="97" bestFit="1" customWidth="1"/>
    <col min="2317" max="2559" width="9.140625" style="97"/>
    <col min="2560" max="2560" width="9.5703125" style="97" bestFit="1" customWidth="1"/>
    <col min="2561" max="2561" width="38" style="97" bestFit="1" customWidth="1"/>
    <col min="2562" max="2563" width="6.140625" style="97" bestFit="1" customWidth="1"/>
    <col min="2564" max="2564" width="14.140625" style="97" bestFit="1" customWidth="1"/>
    <col min="2565" max="2565" width="51.42578125" style="97" bestFit="1" customWidth="1"/>
    <col min="2566" max="2566" width="16.28515625" style="97" bestFit="1" customWidth="1"/>
    <col min="2567" max="2567" width="16.85546875" style="97" bestFit="1" customWidth="1"/>
    <col min="2568" max="2568" width="9.140625" style="97"/>
    <col min="2569" max="2572" width="16.85546875" style="97" bestFit="1" customWidth="1"/>
    <col min="2573" max="2815" width="9.140625" style="97"/>
    <col min="2816" max="2816" width="9.5703125" style="97" bestFit="1" customWidth="1"/>
    <col min="2817" max="2817" width="38" style="97" bestFit="1" customWidth="1"/>
    <col min="2818" max="2819" width="6.140625" style="97" bestFit="1" customWidth="1"/>
    <col min="2820" max="2820" width="14.140625" style="97" bestFit="1" customWidth="1"/>
    <col min="2821" max="2821" width="51.42578125" style="97" bestFit="1" customWidth="1"/>
    <col min="2822" max="2822" width="16.28515625" style="97" bestFit="1" customWidth="1"/>
    <col min="2823" max="2823" width="16.85546875" style="97" bestFit="1" customWidth="1"/>
    <col min="2824" max="2824" width="9.140625" style="97"/>
    <col min="2825" max="2828" width="16.85546875" style="97" bestFit="1" customWidth="1"/>
    <col min="2829" max="3071" width="9.140625" style="97"/>
    <col min="3072" max="3072" width="9.5703125" style="97" bestFit="1" customWidth="1"/>
    <col min="3073" max="3073" width="38" style="97" bestFit="1" customWidth="1"/>
    <col min="3074" max="3075" width="6.140625" style="97" bestFit="1" customWidth="1"/>
    <col min="3076" max="3076" width="14.140625" style="97" bestFit="1" customWidth="1"/>
    <col min="3077" max="3077" width="51.42578125" style="97" bestFit="1" customWidth="1"/>
    <col min="3078" max="3078" width="16.28515625" style="97" bestFit="1" customWidth="1"/>
    <col min="3079" max="3079" width="16.85546875" style="97" bestFit="1" customWidth="1"/>
    <col min="3080" max="3080" width="9.140625" style="97"/>
    <col min="3081" max="3084" width="16.85546875" style="97" bestFit="1" customWidth="1"/>
    <col min="3085" max="3327" width="9.140625" style="97"/>
    <col min="3328" max="3328" width="9.5703125" style="97" bestFit="1" customWidth="1"/>
    <col min="3329" max="3329" width="38" style="97" bestFit="1" customWidth="1"/>
    <col min="3330" max="3331" width="6.140625" style="97" bestFit="1" customWidth="1"/>
    <col min="3332" max="3332" width="14.140625" style="97" bestFit="1" customWidth="1"/>
    <col min="3333" max="3333" width="51.42578125" style="97" bestFit="1" customWidth="1"/>
    <col min="3334" max="3334" width="16.28515625" style="97" bestFit="1" customWidth="1"/>
    <col min="3335" max="3335" width="16.85546875" style="97" bestFit="1" customWidth="1"/>
    <col min="3336" max="3336" width="9.140625" style="97"/>
    <col min="3337" max="3340" width="16.85546875" style="97" bestFit="1" customWidth="1"/>
    <col min="3341" max="3583" width="9.140625" style="97"/>
    <col min="3584" max="3584" width="9.5703125" style="97" bestFit="1" customWidth="1"/>
    <col min="3585" max="3585" width="38" style="97" bestFit="1" customWidth="1"/>
    <col min="3586" max="3587" width="6.140625" style="97" bestFit="1" customWidth="1"/>
    <col min="3588" max="3588" width="14.140625" style="97" bestFit="1" customWidth="1"/>
    <col min="3589" max="3589" width="51.42578125" style="97" bestFit="1" customWidth="1"/>
    <col min="3590" max="3590" width="16.28515625" style="97" bestFit="1" customWidth="1"/>
    <col min="3591" max="3591" width="16.85546875" style="97" bestFit="1" customWidth="1"/>
    <col min="3592" max="3592" width="9.140625" style="97"/>
    <col min="3593" max="3596" width="16.85546875" style="97" bestFit="1" customWidth="1"/>
    <col min="3597" max="3839" width="9.140625" style="97"/>
    <col min="3840" max="3840" width="9.5703125" style="97" bestFit="1" customWidth="1"/>
    <col min="3841" max="3841" width="38" style="97" bestFit="1" customWidth="1"/>
    <col min="3842" max="3843" width="6.140625" style="97" bestFit="1" customWidth="1"/>
    <col min="3844" max="3844" width="14.140625" style="97" bestFit="1" customWidth="1"/>
    <col min="3845" max="3845" width="51.42578125" style="97" bestFit="1" customWidth="1"/>
    <col min="3846" max="3846" width="16.28515625" style="97" bestFit="1" customWidth="1"/>
    <col min="3847" max="3847" width="16.85546875" style="97" bestFit="1" customWidth="1"/>
    <col min="3848" max="3848" width="9.140625" style="97"/>
    <col min="3849" max="3852" width="16.85546875" style="97" bestFit="1" customWidth="1"/>
    <col min="3853" max="4095" width="9.140625" style="97"/>
    <col min="4096" max="4096" width="9.5703125" style="97" bestFit="1" customWidth="1"/>
    <col min="4097" max="4097" width="38" style="97" bestFit="1" customWidth="1"/>
    <col min="4098" max="4099" width="6.140625" style="97" bestFit="1" customWidth="1"/>
    <col min="4100" max="4100" width="14.140625" style="97" bestFit="1" customWidth="1"/>
    <col min="4101" max="4101" width="51.42578125" style="97" bestFit="1" customWidth="1"/>
    <col min="4102" max="4102" width="16.28515625" style="97" bestFit="1" customWidth="1"/>
    <col min="4103" max="4103" width="16.85546875" style="97" bestFit="1" customWidth="1"/>
    <col min="4104" max="4104" width="9.140625" style="97"/>
    <col min="4105" max="4108" width="16.85546875" style="97" bestFit="1" customWidth="1"/>
    <col min="4109" max="4351" width="9.140625" style="97"/>
    <col min="4352" max="4352" width="9.5703125" style="97" bestFit="1" customWidth="1"/>
    <col min="4353" max="4353" width="38" style="97" bestFit="1" customWidth="1"/>
    <col min="4354" max="4355" width="6.140625" style="97" bestFit="1" customWidth="1"/>
    <col min="4356" max="4356" width="14.140625" style="97" bestFit="1" customWidth="1"/>
    <col min="4357" max="4357" width="51.42578125" style="97" bestFit="1" customWidth="1"/>
    <col min="4358" max="4358" width="16.28515625" style="97" bestFit="1" customWidth="1"/>
    <col min="4359" max="4359" width="16.85546875" style="97" bestFit="1" customWidth="1"/>
    <col min="4360" max="4360" width="9.140625" style="97"/>
    <col min="4361" max="4364" width="16.85546875" style="97" bestFit="1" customWidth="1"/>
    <col min="4365" max="4607" width="9.140625" style="97"/>
    <col min="4608" max="4608" width="9.5703125" style="97" bestFit="1" customWidth="1"/>
    <col min="4609" max="4609" width="38" style="97" bestFit="1" customWidth="1"/>
    <col min="4610" max="4611" width="6.140625" style="97" bestFit="1" customWidth="1"/>
    <col min="4612" max="4612" width="14.140625" style="97" bestFit="1" customWidth="1"/>
    <col min="4613" max="4613" width="51.42578125" style="97" bestFit="1" customWidth="1"/>
    <col min="4614" max="4614" width="16.28515625" style="97" bestFit="1" customWidth="1"/>
    <col min="4615" max="4615" width="16.85546875" style="97" bestFit="1" customWidth="1"/>
    <col min="4616" max="4616" width="9.140625" style="97"/>
    <col min="4617" max="4620" width="16.85546875" style="97" bestFit="1" customWidth="1"/>
    <col min="4621" max="4863" width="9.140625" style="97"/>
    <col min="4864" max="4864" width="9.5703125" style="97" bestFit="1" customWidth="1"/>
    <col min="4865" max="4865" width="38" style="97" bestFit="1" customWidth="1"/>
    <col min="4866" max="4867" width="6.140625" style="97" bestFit="1" customWidth="1"/>
    <col min="4868" max="4868" width="14.140625" style="97" bestFit="1" customWidth="1"/>
    <col min="4869" max="4869" width="51.42578125" style="97" bestFit="1" customWidth="1"/>
    <col min="4870" max="4870" width="16.28515625" style="97" bestFit="1" customWidth="1"/>
    <col min="4871" max="4871" width="16.85546875" style="97" bestFit="1" customWidth="1"/>
    <col min="4872" max="4872" width="9.140625" style="97"/>
    <col min="4873" max="4876" width="16.85546875" style="97" bestFit="1" customWidth="1"/>
    <col min="4877" max="5119" width="9.140625" style="97"/>
    <col min="5120" max="5120" width="9.5703125" style="97" bestFit="1" customWidth="1"/>
    <col min="5121" max="5121" width="38" style="97" bestFit="1" customWidth="1"/>
    <col min="5122" max="5123" width="6.140625" style="97" bestFit="1" customWidth="1"/>
    <col min="5124" max="5124" width="14.140625" style="97" bestFit="1" customWidth="1"/>
    <col min="5125" max="5125" width="51.42578125" style="97" bestFit="1" customWidth="1"/>
    <col min="5126" max="5126" width="16.28515625" style="97" bestFit="1" customWidth="1"/>
    <col min="5127" max="5127" width="16.85546875" style="97" bestFit="1" customWidth="1"/>
    <col min="5128" max="5128" width="9.140625" style="97"/>
    <col min="5129" max="5132" width="16.85546875" style="97" bestFit="1" customWidth="1"/>
    <col min="5133" max="5375" width="9.140625" style="97"/>
    <col min="5376" max="5376" width="9.5703125" style="97" bestFit="1" customWidth="1"/>
    <col min="5377" max="5377" width="38" style="97" bestFit="1" customWidth="1"/>
    <col min="5378" max="5379" width="6.140625" style="97" bestFit="1" customWidth="1"/>
    <col min="5380" max="5380" width="14.140625" style="97" bestFit="1" customWidth="1"/>
    <col min="5381" max="5381" width="51.42578125" style="97" bestFit="1" customWidth="1"/>
    <col min="5382" max="5382" width="16.28515625" style="97" bestFit="1" customWidth="1"/>
    <col min="5383" max="5383" width="16.85546875" style="97" bestFit="1" customWidth="1"/>
    <col min="5384" max="5384" width="9.140625" style="97"/>
    <col min="5385" max="5388" width="16.85546875" style="97" bestFit="1" customWidth="1"/>
    <col min="5389" max="5631" width="9.140625" style="97"/>
    <col min="5632" max="5632" width="9.5703125" style="97" bestFit="1" customWidth="1"/>
    <col min="5633" max="5633" width="38" style="97" bestFit="1" customWidth="1"/>
    <col min="5634" max="5635" width="6.140625" style="97" bestFit="1" customWidth="1"/>
    <col min="5636" max="5636" width="14.140625" style="97" bestFit="1" customWidth="1"/>
    <col min="5637" max="5637" width="51.42578125" style="97" bestFit="1" customWidth="1"/>
    <col min="5638" max="5638" width="16.28515625" style="97" bestFit="1" customWidth="1"/>
    <col min="5639" max="5639" width="16.85546875" style="97" bestFit="1" customWidth="1"/>
    <col min="5640" max="5640" width="9.140625" style="97"/>
    <col min="5641" max="5644" width="16.85546875" style="97" bestFit="1" customWidth="1"/>
    <col min="5645" max="5887" width="9.140625" style="97"/>
    <col min="5888" max="5888" width="9.5703125" style="97" bestFit="1" customWidth="1"/>
    <col min="5889" max="5889" width="38" style="97" bestFit="1" customWidth="1"/>
    <col min="5890" max="5891" width="6.140625" style="97" bestFit="1" customWidth="1"/>
    <col min="5892" max="5892" width="14.140625" style="97" bestFit="1" customWidth="1"/>
    <col min="5893" max="5893" width="51.42578125" style="97" bestFit="1" customWidth="1"/>
    <col min="5894" max="5894" width="16.28515625" style="97" bestFit="1" customWidth="1"/>
    <col min="5895" max="5895" width="16.85546875" style="97" bestFit="1" customWidth="1"/>
    <col min="5896" max="5896" width="9.140625" style="97"/>
    <col min="5897" max="5900" width="16.85546875" style="97" bestFit="1" customWidth="1"/>
    <col min="5901" max="6143" width="9.140625" style="97"/>
    <col min="6144" max="6144" width="9.5703125" style="97" bestFit="1" customWidth="1"/>
    <col min="6145" max="6145" width="38" style="97" bestFit="1" customWidth="1"/>
    <col min="6146" max="6147" width="6.140625" style="97" bestFit="1" customWidth="1"/>
    <col min="6148" max="6148" width="14.140625" style="97" bestFit="1" customWidth="1"/>
    <col min="6149" max="6149" width="51.42578125" style="97" bestFit="1" customWidth="1"/>
    <col min="6150" max="6150" width="16.28515625" style="97" bestFit="1" customWidth="1"/>
    <col min="6151" max="6151" width="16.85546875" style="97" bestFit="1" customWidth="1"/>
    <col min="6152" max="6152" width="9.140625" style="97"/>
    <col min="6153" max="6156" width="16.85546875" style="97" bestFit="1" customWidth="1"/>
    <col min="6157" max="6399" width="9.140625" style="97"/>
    <col min="6400" max="6400" width="9.5703125" style="97" bestFit="1" customWidth="1"/>
    <col min="6401" max="6401" width="38" style="97" bestFit="1" customWidth="1"/>
    <col min="6402" max="6403" width="6.140625" style="97" bestFit="1" customWidth="1"/>
    <col min="6404" max="6404" width="14.140625" style="97" bestFit="1" customWidth="1"/>
    <col min="6405" max="6405" width="51.42578125" style="97" bestFit="1" customWidth="1"/>
    <col min="6406" max="6406" width="16.28515625" style="97" bestFit="1" customWidth="1"/>
    <col min="6407" max="6407" width="16.85546875" style="97" bestFit="1" customWidth="1"/>
    <col min="6408" max="6408" width="9.140625" style="97"/>
    <col min="6409" max="6412" width="16.85546875" style="97" bestFit="1" customWidth="1"/>
    <col min="6413" max="6655" width="9.140625" style="97"/>
    <col min="6656" max="6656" width="9.5703125" style="97" bestFit="1" customWidth="1"/>
    <col min="6657" max="6657" width="38" style="97" bestFit="1" customWidth="1"/>
    <col min="6658" max="6659" width="6.140625" style="97" bestFit="1" customWidth="1"/>
    <col min="6660" max="6660" width="14.140625" style="97" bestFit="1" customWidth="1"/>
    <col min="6661" max="6661" width="51.42578125" style="97" bestFit="1" customWidth="1"/>
    <col min="6662" max="6662" width="16.28515625" style="97" bestFit="1" customWidth="1"/>
    <col min="6663" max="6663" width="16.85546875" style="97" bestFit="1" customWidth="1"/>
    <col min="6664" max="6664" width="9.140625" style="97"/>
    <col min="6665" max="6668" width="16.85546875" style="97" bestFit="1" customWidth="1"/>
    <col min="6669" max="6911" width="9.140625" style="97"/>
    <col min="6912" max="6912" width="9.5703125" style="97" bestFit="1" customWidth="1"/>
    <col min="6913" max="6913" width="38" style="97" bestFit="1" customWidth="1"/>
    <col min="6914" max="6915" width="6.140625" style="97" bestFit="1" customWidth="1"/>
    <col min="6916" max="6916" width="14.140625" style="97" bestFit="1" customWidth="1"/>
    <col min="6917" max="6917" width="51.42578125" style="97" bestFit="1" customWidth="1"/>
    <col min="6918" max="6918" width="16.28515625" style="97" bestFit="1" customWidth="1"/>
    <col min="6919" max="6919" width="16.85546875" style="97" bestFit="1" customWidth="1"/>
    <col min="6920" max="6920" width="9.140625" style="97"/>
    <col min="6921" max="6924" width="16.85546875" style="97" bestFit="1" customWidth="1"/>
    <col min="6925" max="7167" width="9.140625" style="97"/>
    <col min="7168" max="7168" width="9.5703125" style="97" bestFit="1" customWidth="1"/>
    <col min="7169" max="7169" width="38" style="97" bestFit="1" customWidth="1"/>
    <col min="7170" max="7171" width="6.140625" style="97" bestFit="1" customWidth="1"/>
    <col min="7172" max="7172" width="14.140625" style="97" bestFit="1" customWidth="1"/>
    <col min="7173" max="7173" width="51.42578125" style="97" bestFit="1" customWidth="1"/>
    <col min="7174" max="7174" width="16.28515625" style="97" bestFit="1" customWidth="1"/>
    <col min="7175" max="7175" width="16.85546875" style="97" bestFit="1" customWidth="1"/>
    <col min="7176" max="7176" width="9.140625" style="97"/>
    <col min="7177" max="7180" width="16.85546875" style="97" bestFit="1" customWidth="1"/>
    <col min="7181" max="7423" width="9.140625" style="97"/>
    <col min="7424" max="7424" width="9.5703125" style="97" bestFit="1" customWidth="1"/>
    <col min="7425" max="7425" width="38" style="97" bestFit="1" customWidth="1"/>
    <col min="7426" max="7427" width="6.140625" style="97" bestFit="1" customWidth="1"/>
    <col min="7428" max="7428" width="14.140625" style="97" bestFit="1" customWidth="1"/>
    <col min="7429" max="7429" width="51.42578125" style="97" bestFit="1" customWidth="1"/>
    <col min="7430" max="7430" width="16.28515625" style="97" bestFit="1" customWidth="1"/>
    <col min="7431" max="7431" width="16.85546875" style="97" bestFit="1" customWidth="1"/>
    <col min="7432" max="7432" width="9.140625" style="97"/>
    <col min="7433" max="7436" width="16.85546875" style="97" bestFit="1" customWidth="1"/>
    <col min="7437" max="7679" width="9.140625" style="97"/>
    <col min="7680" max="7680" width="9.5703125" style="97" bestFit="1" customWidth="1"/>
    <col min="7681" max="7681" width="38" style="97" bestFit="1" customWidth="1"/>
    <col min="7682" max="7683" width="6.140625" style="97" bestFit="1" customWidth="1"/>
    <col min="7684" max="7684" width="14.140625" style="97" bestFit="1" customWidth="1"/>
    <col min="7685" max="7685" width="51.42578125" style="97" bestFit="1" customWidth="1"/>
    <col min="7686" max="7686" width="16.28515625" style="97" bestFit="1" customWidth="1"/>
    <col min="7687" max="7687" width="16.85546875" style="97" bestFit="1" customWidth="1"/>
    <col min="7688" max="7688" width="9.140625" style="97"/>
    <col min="7689" max="7692" width="16.85546875" style="97" bestFit="1" customWidth="1"/>
    <col min="7693" max="7935" width="9.140625" style="97"/>
    <col min="7936" max="7936" width="9.5703125" style="97" bestFit="1" customWidth="1"/>
    <col min="7937" max="7937" width="38" style="97" bestFit="1" customWidth="1"/>
    <col min="7938" max="7939" width="6.140625" style="97" bestFit="1" customWidth="1"/>
    <col min="7940" max="7940" width="14.140625" style="97" bestFit="1" customWidth="1"/>
    <col min="7941" max="7941" width="51.42578125" style="97" bestFit="1" customWidth="1"/>
    <col min="7942" max="7942" width="16.28515625" style="97" bestFit="1" customWidth="1"/>
    <col min="7943" max="7943" width="16.85546875" style="97" bestFit="1" customWidth="1"/>
    <col min="7944" max="7944" width="9.140625" style="97"/>
    <col min="7945" max="7948" width="16.85546875" style="97" bestFit="1" customWidth="1"/>
    <col min="7949" max="8191" width="9.140625" style="97"/>
    <col min="8192" max="8192" width="9.5703125" style="97" bestFit="1" customWidth="1"/>
    <col min="8193" max="8193" width="38" style="97" bestFit="1" customWidth="1"/>
    <col min="8194" max="8195" width="6.140625" style="97" bestFit="1" customWidth="1"/>
    <col min="8196" max="8196" width="14.140625" style="97" bestFit="1" customWidth="1"/>
    <col min="8197" max="8197" width="51.42578125" style="97" bestFit="1" customWidth="1"/>
    <col min="8198" max="8198" width="16.28515625" style="97" bestFit="1" customWidth="1"/>
    <col min="8199" max="8199" width="16.85546875" style="97" bestFit="1" customWidth="1"/>
    <col min="8200" max="8200" width="9.140625" style="97"/>
    <col min="8201" max="8204" width="16.85546875" style="97" bestFit="1" customWidth="1"/>
    <col min="8205" max="8447" width="9.140625" style="97"/>
    <col min="8448" max="8448" width="9.5703125" style="97" bestFit="1" customWidth="1"/>
    <col min="8449" max="8449" width="38" style="97" bestFit="1" customWidth="1"/>
    <col min="8450" max="8451" width="6.140625" style="97" bestFit="1" customWidth="1"/>
    <col min="8452" max="8452" width="14.140625" style="97" bestFit="1" customWidth="1"/>
    <col min="8453" max="8453" width="51.42578125" style="97" bestFit="1" customWidth="1"/>
    <col min="8454" max="8454" width="16.28515625" style="97" bestFit="1" customWidth="1"/>
    <col min="8455" max="8455" width="16.85546875" style="97" bestFit="1" customWidth="1"/>
    <col min="8456" max="8456" width="9.140625" style="97"/>
    <col min="8457" max="8460" width="16.85546875" style="97" bestFit="1" customWidth="1"/>
    <col min="8461" max="8703" width="9.140625" style="97"/>
    <col min="8704" max="8704" width="9.5703125" style="97" bestFit="1" customWidth="1"/>
    <col min="8705" max="8705" width="38" style="97" bestFit="1" customWidth="1"/>
    <col min="8706" max="8707" width="6.140625" style="97" bestFit="1" customWidth="1"/>
    <col min="8708" max="8708" width="14.140625" style="97" bestFit="1" customWidth="1"/>
    <col min="8709" max="8709" width="51.42578125" style="97" bestFit="1" customWidth="1"/>
    <col min="8710" max="8710" width="16.28515625" style="97" bestFit="1" customWidth="1"/>
    <col min="8711" max="8711" width="16.85546875" style="97" bestFit="1" customWidth="1"/>
    <col min="8712" max="8712" width="9.140625" style="97"/>
    <col min="8713" max="8716" width="16.85546875" style="97" bestFit="1" customWidth="1"/>
    <col min="8717" max="8959" width="9.140625" style="97"/>
    <col min="8960" max="8960" width="9.5703125" style="97" bestFit="1" customWidth="1"/>
    <col min="8961" max="8961" width="38" style="97" bestFit="1" customWidth="1"/>
    <col min="8962" max="8963" width="6.140625" style="97" bestFit="1" customWidth="1"/>
    <col min="8964" max="8964" width="14.140625" style="97" bestFit="1" customWidth="1"/>
    <col min="8965" max="8965" width="51.42578125" style="97" bestFit="1" customWidth="1"/>
    <col min="8966" max="8966" width="16.28515625" style="97" bestFit="1" customWidth="1"/>
    <col min="8967" max="8967" width="16.85546875" style="97" bestFit="1" customWidth="1"/>
    <col min="8968" max="8968" width="9.140625" style="97"/>
    <col min="8969" max="8972" width="16.85546875" style="97" bestFit="1" customWidth="1"/>
    <col min="8973" max="9215" width="9.140625" style="97"/>
    <col min="9216" max="9216" width="9.5703125" style="97" bestFit="1" customWidth="1"/>
    <col min="9217" max="9217" width="38" style="97" bestFit="1" customWidth="1"/>
    <col min="9218" max="9219" width="6.140625" style="97" bestFit="1" customWidth="1"/>
    <col min="9220" max="9220" width="14.140625" style="97" bestFit="1" customWidth="1"/>
    <col min="9221" max="9221" width="51.42578125" style="97" bestFit="1" customWidth="1"/>
    <col min="9222" max="9222" width="16.28515625" style="97" bestFit="1" customWidth="1"/>
    <col min="9223" max="9223" width="16.85546875" style="97" bestFit="1" customWidth="1"/>
    <col min="9224" max="9224" width="9.140625" style="97"/>
    <col min="9225" max="9228" width="16.85546875" style="97" bestFit="1" customWidth="1"/>
    <col min="9229" max="9471" width="9.140625" style="97"/>
    <col min="9472" max="9472" width="9.5703125" style="97" bestFit="1" customWidth="1"/>
    <col min="9473" max="9473" width="38" style="97" bestFit="1" customWidth="1"/>
    <col min="9474" max="9475" width="6.140625" style="97" bestFit="1" customWidth="1"/>
    <col min="9476" max="9476" width="14.140625" style="97" bestFit="1" customWidth="1"/>
    <col min="9477" max="9477" width="51.42578125" style="97" bestFit="1" customWidth="1"/>
    <col min="9478" max="9478" width="16.28515625" style="97" bestFit="1" customWidth="1"/>
    <col min="9479" max="9479" width="16.85546875" style="97" bestFit="1" customWidth="1"/>
    <col min="9480" max="9480" width="9.140625" style="97"/>
    <col min="9481" max="9484" width="16.85546875" style="97" bestFit="1" customWidth="1"/>
    <col min="9485" max="9727" width="9.140625" style="97"/>
    <col min="9728" max="9728" width="9.5703125" style="97" bestFit="1" customWidth="1"/>
    <col min="9729" max="9729" width="38" style="97" bestFit="1" customWidth="1"/>
    <col min="9730" max="9731" width="6.140625" style="97" bestFit="1" customWidth="1"/>
    <col min="9732" max="9732" width="14.140625" style="97" bestFit="1" customWidth="1"/>
    <col min="9733" max="9733" width="51.42578125" style="97" bestFit="1" customWidth="1"/>
    <col min="9734" max="9734" width="16.28515625" style="97" bestFit="1" customWidth="1"/>
    <col min="9735" max="9735" width="16.85546875" style="97" bestFit="1" customWidth="1"/>
    <col min="9736" max="9736" width="9.140625" style="97"/>
    <col min="9737" max="9740" width="16.85546875" style="97" bestFit="1" customWidth="1"/>
    <col min="9741" max="9983" width="9.140625" style="97"/>
    <col min="9984" max="9984" width="9.5703125" style="97" bestFit="1" customWidth="1"/>
    <col min="9985" max="9985" width="38" style="97" bestFit="1" customWidth="1"/>
    <col min="9986" max="9987" width="6.140625" style="97" bestFit="1" customWidth="1"/>
    <col min="9988" max="9988" width="14.140625" style="97" bestFit="1" customWidth="1"/>
    <col min="9989" max="9989" width="51.42578125" style="97" bestFit="1" customWidth="1"/>
    <col min="9990" max="9990" width="16.28515625" style="97" bestFit="1" customWidth="1"/>
    <col min="9991" max="9991" width="16.85546875" style="97" bestFit="1" customWidth="1"/>
    <col min="9992" max="9992" width="9.140625" style="97"/>
    <col min="9993" max="9996" width="16.85546875" style="97" bestFit="1" customWidth="1"/>
    <col min="9997" max="10239" width="9.140625" style="97"/>
    <col min="10240" max="10240" width="9.5703125" style="97" bestFit="1" customWidth="1"/>
    <col min="10241" max="10241" width="38" style="97" bestFit="1" customWidth="1"/>
    <col min="10242" max="10243" width="6.140625" style="97" bestFit="1" customWidth="1"/>
    <col min="10244" max="10244" width="14.140625" style="97" bestFit="1" customWidth="1"/>
    <col min="10245" max="10245" width="51.42578125" style="97" bestFit="1" customWidth="1"/>
    <col min="10246" max="10246" width="16.28515625" style="97" bestFit="1" customWidth="1"/>
    <col min="10247" max="10247" width="16.85546875" style="97" bestFit="1" customWidth="1"/>
    <col min="10248" max="10248" width="9.140625" style="97"/>
    <col min="10249" max="10252" width="16.85546875" style="97" bestFit="1" customWidth="1"/>
    <col min="10253" max="10495" width="9.140625" style="97"/>
    <col min="10496" max="10496" width="9.5703125" style="97" bestFit="1" customWidth="1"/>
    <col min="10497" max="10497" width="38" style="97" bestFit="1" customWidth="1"/>
    <col min="10498" max="10499" width="6.140625" style="97" bestFit="1" customWidth="1"/>
    <col min="10500" max="10500" width="14.140625" style="97" bestFit="1" customWidth="1"/>
    <col min="10501" max="10501" width="51.42578125" style="97" bestFit="1" customWidth="1"/>
    <col min="10502" max="10502" width="16.28515625" style="97" bestFit="1" customWidth="1"/>
    <col min="10503" max="10503" width="16.85546875" style="97" bestFit="1" customWidth="1"/>
    <col min="10504" max="10504" width="9.140625" style="97"/>
    <col min="10505" max="10508" width="16.85546875" style="97" bestFit="1" customWidth="1"/>
    <col min="10509" max="10751" width="9.140625" style="97"/>
    <col min="10752" max="10752" width="9.5703125" style="97" bestFit="1" customWidth="1"/>
    <col min="10753" max="10753" width="38" style="97" bestFit="1" customWidth="1"/>
    <col min="10754" max="10755" width="6.140625" style="97" bestFit="1" customWidth="1"/>
    <col min="10756" max="10756" width="14.140625" style="97" bestFit="1" customWidth="1"/>
    <col min="10757" max="10757" width="51.42578125" style="97" bestFit="1" customWidth="1"/>
    <col min="10758" max="10758" width="16.28515625" style="97" bestFit="1" customWidth="1"/>
    <col min="10759" max="10759" width="16.85546875" style="97" bestFit="1" customWidth="1"/>
    <col min="10760" max="10760" width="9.140625" style="97"/>
    <col min="10761" max="10764" width="16.85546875" style="97" bestFit="1" customWidth="1"/>
    <col min="10765" max="11007" width="9.140625" style="97"/>
    <col min="11008" max="11008" width="9.5703125" style="97" bestFit="1" customWidth="1"/>
    <col min="11009" max="11009" width="38" style="97" bestFit="1" customWidth="1"/>
    <col min="11010" max="11011" width="6.140625" style="97" bestFit="1" customWidth="1"/>
    <col min="11012" max="11012" width="14.140625" style="97" bestFit="1" customWidth="1"/>
    <col min="11013" max="11013" width="51.42578125" style="97" bestFit="1" customWidth="1"/>
    <col min="11014" max="11014" width="16.28515625" style="97" bestFit="1" customWidth="1"/>
    <col min="11015" max="11015" width="16.85546875" style="97" bestFit="1" customWidth="1"/>
    <col min="11016" max="11016" width="9.140625" style="97"/>
    <col min="11017" max="11020" width="16.85546875" style="97" bestFit="1" customWidth="1"/>
    <col min="11021" max="11263" width="9.140625" style="97"/>
    <col min="11264" max="11264" width="9.5703125" style="97" bestFit="1" customWidth="1"/>
    <col min="11265" max="11265" width="38" style="97" bestFit="1" customWidth="1"/>
    <col min="11266" max="11267" width="6.140625" style="97" bestFit="1" customWidth="1"/>
    <col min="11268" max="11268" width="14.140625" style="97" bestFit="1" customWidth="1"/>
    <col min="11269" max="11269" width="51.42578125" style="97" bestFit="1" customWidth="1"/>
    <col min="11270" max="11270" width="16.28515625" style="97" bestFit="1" customWidth="1"/>
    <col min="11271" max="11271" width="16.85546875" style="97" bestFit="1" customWidth="1"/>
    <col min="11272" max="11272" width="9.140625" style="97"/>
    <col min="11273" max="11276" width="16.85546875" style="97" bestFit="1" customWidth="1"/>
    <col min="11277" max="11519" width="9.140625" style="97"/>
    <col min="11520" max="11520" width="9.5703125" style="97" bestFit="1" customWidth="1"/>
    <col min="11521" max="11521" width="38" style="97" bestFit="1" customWidth="1"/>
    <col min="11522" max="11523" width="6.140625" style="97" bestFit="1" customWidth="1"/>
    <col min="11524" max="11524" width="14.140625" style="97" bestFit="1" customWidth="1"/>
    <col min="11525" max="11525" width="51.42578125" style="97" bestFit="1" customWidth="1"/>
    <col min="11526" max="11526" width="16.28515625" style="97" bestFit="1" customWidth="1"/>
    <col min="11527" max="11527" width="16.85546875" style="97" bestFit="1" customWidth="1"/>
    <col min="11528" max="11528" width="9.140625" style="97"/>
    <col min="11529" max="11532" width="16.85546875" style="97" bestFit="1" customWidth="1"/>
    <col min="11533" max="11775" width="9.140625" style="97"/>
    <col min="11776" max="11776" width="9.5703125" style="97" bestFit="1" customWidth="1"/>
    <col min="11777" max="11777" width="38" style="97" bestFit="1" customWidth="1"/>
    <col min="11778" max="11779" width="6.140625" style="97" bestFit="1" customWidth="1"/>
    <col min="11780" max="11780" width="14.140625" style="97" bestFit="1" customWidth="1"/>
    <col min="11781" max="11781" width="51.42578125" style="97" bestFit="1" customWidth="1"/>
    <col min="11782" max="11782" width="16.28515625" style="97" bestFit="1" customWidth="1"/>
    <col min="11783" max="11783" width="16.85546875" style="97" bestFit="1" customWidth="1"/>
    <col min="11784" max="11784" width="9.140625" style="97"/>
    <col min="11785" max="11788" width="16.85546875" style="97" bestFit="1" customWidth="1"/>
    <col min="11789" max="12031" width="9.140625" style="97"/>
    <col min="12032" max="12032" width="9.5703125" style="97" bestFit="1" customWidth="1"/>
    <col min="12033" max="12033" width="38" style="97" bestFit="1" customWidth="1"/>
    <col min="12034" max="12035" width="6.140625" style="97" bestFit="1" customWidth="1"/>
    <col min="12036" max="12036" width="14.140625" style="97" bestFit="1" customWidth="1"/>
    <col min="12037" max="12037" width="51.42578125" style="97" bestFit="1" customWidth="1"/>
    <col min="12038" max="12038" width="16.28515625" style="97" bestFit="1" customWidth="1"/>
    <col min="12039" max="12039" width="16.85546875" style="97" bestFit="1" customWidth="1"/>
    <col min="12040" max="12040" width="9.140625" style="97"/>
    <col min="12041" max="12044" width="16.85546875" style="97" bestFit="1" customWidth="1"/>
    <col min="12045" max="12287" width="9.140625" style="97"/>
    <col min="12288" max="12288" width="9.5703125" style="97" bestFit="1" customWidth="1"/>
    <col min="12289" max="12289" width="38" style="97" bestFit="1" customWidth="1"/>
    <col min="12290" max="12291" width="6.140625" style="97" bestFit="1" customWidth="1"/>
    <col min="12292" max="12292" width="14.140625" style="97" bestFit="1" customWidth="1"/>
    <col min="12293" max="12293" width="51.42578125" style="97" bestFit="1" customWidth="1"/>
    <col min="12294" max="12294" width="16.28515625" style="97" bestFit="1" customWidth="1"/>
    <col min="12295" max="12295" width="16.85546875" style="97" bestFit="1" customWidth="1"/>
    <col min="12296" max="12296" width="9.140625" style="97"/>
    <col min="12297" max="12300" width="16.85546875" style="97" bestFit="1" customWidth="1"/>
    <col min="12301" max="12543" width="9.140625" style="97"/>
    <col min="12544" max="12544" width="9.5703125" style="97" bestFit="1" customWidth="1"/>
    <col min="12545" max="12545" width="38" style="97" bestFit="1" customWidth="1"/>
    <col min="12546" max="12547" width="6.140625" style="97" bestFit="1" customWidth="1"/>
    <col min="12548" max="12548" width="14.140625" style="97" bestFit="1" customWidth="1"/>
    <col min="12549" max="12549" width="51.42578125" style="97" bestFit="1" customWidth="1"/>
    <col min="12550" max="12550" width="16.28515625" style="97" bestFit="1" customWidth="1"/>
    <col min="12551" max="12551" width="16.85546875" style="97" bestFit="1" customWidth="1"/>
    <col min="12552" max="12552" width="9.140625" style="97"/>
    <col min="12553" max="12556" width="16.85546875" style="97" bestFit="1" customWidth="1"/>
    <col min="12557" max="12799" width="9.140625" style="97"/>
    <col min="12800" max="12800" width="9.5703125" style="97" bestFit="1" customWidth="1"/>
    <col min="12801" max="12801" width="38" style="97" bestFit="1" customWidth="1"/>
    <col min="12802" max="12803" width="6.140625" style="97" bestFit="1" customWidth="1"/>
    <col min="12804" max="12804" width="14.140625" style="97" bestFit="1" customWidth="1"/>
    <col min="12805" max="12805" width="51.42578125" style="97" bestFit="1" customWidth="1"/>
    <col min="12806" max="12806" width="16.28515625" style="97" bestFit="1" customWidth="1"/>
    <col min="12807" max="12807" width="16.85546875" style="97" bestFit="1" customWidth="1"/>
    <col min="12808" max="12808" width="9.140625" style="97"/>
    <col min="12809" max="12812" width="16.85546875" style="97" bestFit="1" customWidth="1"/>
    <col min="12813" max="13055" width="9.140625" style="97"/>
    <col min="13056" max="13056" width="9.5703125" style="97" bestFit="1" customWidth="1"/>
    <col min="13057" max="13057" width="38" style="97" bestFit="1" customWidth="1"/>
    <col min="13058" max="13059" width="6.140625" style="97" bestFit="1" customWidth="1"/>
    <col min="13060" max="13060" width="14.140625" style="97" bestFit="1" customWidth="1"/>
    <col min="13061" max="13061" width="51.42578125" style="97" bestFit="1" customWidth="1"/>
    <col min="13062" max="13062" width="16.28515625" style="97" bestFit="1" customWidth="1"/>
    <col min="13063" max="13063" width="16.85546875" style="97" bestFit="1" customWidth="1"/>
    <col min="13064" max="13064" width="9.140625" style="97"/>
    <col min="13065" max="13068" width="16.85546875" style="97" bestFit="1" customWidth="1"/>
    <col min="13069" max="13311" width="9.140625" style="97"/>
    <col min="13312" max="13312" width="9.5703125" style="97" bestFit="1" customWidth="1"/>
    <col min="13313" max="13313" width="38" style="97" bestFit="1" customWidth="1"/>
    <col min="13314" max="13315" width="6.140625" style="97" bestFit="1" customWidth="1"/>
    <col min="13316" max="13316" width="14.140625" style="97" bestFit="1" customWidth="1"/>
    <col min="13317" max="13317" width="51.42578125" style="97" bestFit="1" customWidth="1"/>
    <col min="13318" max="13318" width="16.28515625" style="97" bestFit="1" customWidth="1"/>
    <col min="13319" max="13319" width="16.85546875" style="97" bestFit="1" customWidth="1"/>
    <col min="13320" max="13320" width="9.140625" style="97"/>
    <col min="13321" max="13324" width="16.85546875" style="97" bestFit="1" customWidth="1"/>
    <col min="13325" max="13567" width="9.140625" style="97"/>
    <col min="13568" max="13568" width="9.5703125" style="97" bestFit="1" customWidth="1"/>
    <col min="13569" max="13569" width="38" style="97" bestFit="1" customWidth="1"/>
    <col min="13570" max="13571" width="6.140625" style="97" bestFit="1" customWidth="1"/>
    <col min="13572" max="13572" width="14.140625" style="97" bestFit="1" customWidth="1"/>
    <col min="13573" max="13573" width="51.42578125" style="97" bestFit="1" customWidth="1"/>
    <col min="13574" max="13574" width="16.28515625" style="97" bestFit="1" customWidth="1"/>
    <col min="13575" max="13575" width="16.85546875" style="97" bestFit="1" customWidth="1"/>
    <col min="13576" max="13576" width="9.140625" style="97"/>
    <col min="13577" max="13580" width="16.85546875" style="97" bestFit="1" customWidth="1"/>
    <col min="13581" max="13823" width="9.140625" style="97"/>
    <col min="13824" max="13824" width="9.5703125" style="97" bestFit="1" customWidth="1"/>
    <col min="13825" max="13825" width="38" style="97" bestFit="1" customWidth="1"/>
    <col min="13826" max="13827" width="6.140625" style="97" bestFit="1" customWidth="1"/>
    <col min="13828" max="13828" width="14.140625" style="97" bestFit="1" customWidth="1"/>
    <col min="13829" max="13829" width="51.42578125" style="97" bestFit="1" customWidth="1"/>
    <col min="13830" max="13830" width="16.28515625" style="97" bestFit="1" customWidth="1"/>
    <col min="13831" max="13831" width="16.85546875" style="97" bestFit="1" customWidth="1"/>
    <col min="13832" max="13832" width="9.140625" style="97"/>
    <col min="13833" max="13836" width="16.85546875" style="97" bestFit="1" customWidth="1"/>
    <col min="13837" max="14079" width="9.140625" style="97"/>
    <col min="14080" max="14080" width="9.5703125" style="97" bestFit="1" customWidth="1"/>
    <col min="14081" max="14081" width="38" style="97" bestFit="1" customWidth="1"/>
    <col min="14082" max="14083" width="6.140625" style="97" bestFit="1" customWidth="1"/>
    <col min="14084" max="14084" width="14.140625" style="97" bestFit="1" customWidth="1"/>
    <col min="14085" max="14085" width="51.42578125" style="97" bestFit="1" customWidth="1"/>
    <col min="14086" max="14086" width="16.28515625" style="97" bestFit="1" customWidth="1"/>
    <col min="14087" max="14087" width="16.85546875" style="97" bestFit="1" customWidth="1"/>
    <col min="14088" max="14088" width="9.140625" style="97"/>
    <col min="14089" max="14092" width="16.85546875" style="97" bestFit="1" customWidth="1"/>
    <col min="14093" max="14335" width="9.140625" style="97"/>
    <col min="14336" max="14336" width="9.5703125" style="97" bestFit="1" customWidth="1"/>
    <col min="14337" max="14337" width="38" style="97" bestFit="1" customWidth="1"/>
    <col min="14338" max="14339" width="6.140625" style="97" bestFit="1" customWidth="1"/>
    <col min="14340" max="14340" width="14.140625" style="97" bestFit="1" customWidth="1"/>
    <col min="14341" max="14341" width="51.42578125" style="97" bestFit="1" customWidth="1"/>
    <col min="14342" max="14342" width="16.28515625" style="97" bestFit="1" customWidth="1"/>
    <col min="14343" max="14343" width="16.85546875" style="97" bestFit="1" customWidth="1"/>
    <col min="14344" max="14344" width="9.140625" style="97"/>
    <col min="14345" max="14348" width="16.85546875" style="97" bestFit="1" customWidth="1"/>
    <col min="14349" max="14591" width="9.140625" style="97"/>
    <col min="14592" max="14592" width="9.5703125" style="97" bestFit="1" customWidth="1"/>
    <col min="14593" max="14593" width="38" style="97" bestFit="1" customWidth="1"/>
    <col min="14594" max="14595" width="6.140625" style="97" bestFit="1" customWidth="1"/>
    <col min="14596" max="14596" width="14.140625" style="97" bestFit="1" customWidth="1"/>
    <col min="14597" max="14597" width="51.42578125" style="97" bestFit="1" customWidth="1"/>
    <col min="14598" max="14598" width="16.28515625" style="97" bestFit="1" customWidth="1"/>
    <col min="14599" max="14599" width="16.85546875" style="97" bestFit="1" customWidth="1"/>
    <col min="14600" max="14600" width="9.140625" style="97"/>
    <col min="14601" max="14604" width="16.85546875" style="97" bestFit="1" customWidth="1"/>
    <col min="14605" max="14847" width="9.140625" style="97"/>
    <col min="14848" max="14848" width="9.5703125" style="97" bestFit="1" customWidth="1"/>
    <col min="14849" max="14849" width="38" style="97" bestFit="1" customWidth="1"/>
    <col min="14850" max="14851" width="6.140625" style="97" bestFit="1" customWidth="1"/>
    <col min="14852" max="14852" width="14.140625" style="97" bestFit="1" customWidth="1"/>
    <col min="14853" max="14853" width="51.42578125" style="97" bestFit="1" customWidth="1"/>
    <col min="14854" max="14854" width="16.28515625" style="97" bestFit="1" customWidth="1"/>
    <col min="14855" max="14855" width="16.85546875" style="97" bestFit="1" customWidth="1"/>
    <col min="14856" max="14856" width="9.140625" style="97"/>
    <col min="14857" max="14860" width="16.85546875" style="97" bestFit="1" customWidth="1"/>
    <col min="14861" max="15103" width="9.140625" style="97"/>
    <col min="15104" max="15104" width="9.5703125" style="97" bestFit="1" customWidth="1"/>
    <col min="15105" max="15105" width="38" style="97" bestFit="1" customWidth="1"/>
    <col min="15106" max="15107" width="6.140625" style="97" bestFit="1" customWidth="1"/>
    <col min="15108" max="15108" width="14.140625" style="97" bestFit="1" customWidth="1"/>
    <col min="15109" max="15109" width="51.42578125" style="97" bestFit="1" customWidth="1"/>
    <col min="15110" max="15110" width="16.28515625" style="97" bestFit="1" customWidth="1"/>
    <col min="15111" max="15111" width="16.85546875" style="97" bestFit="1" customWidth="1"/>
    <col min="15112" max="15112" width="9.140625" style="97"/>
    <col min="15113" max="15116" width="16.85546875" style="97" bestFit="1" customWidth="1"/>
    <col min="15117" max="15359" width="9.140625" style="97"/>
    <col min="15360" max="15360" width="9.5703125" style="97" bestFit="1" customWidth="1"/>
    <col min="15361" max="15361" width="38" style="97" bestFit="1" customWidth="1"/>
    <col min="15362" max="15363" width="6.140625" style="97" bestFit="1" customWidth="1"/>
    <col min="15364" max="15364" width="14.140625" style="97" bestFit="1" customWidth="1"/>
    <col min="15365" max="15365" width="51.42578125" style="97" bestFit="1" customWidth="1"/>
    <col min="15366" max="15366" width="16.28515625" style="97" bestFit="1" customWidth="1"/>
    <col min="15367" max="15367" width="16.85546875" style="97" bestFit="1" customWidth="1"/>
    <col min="15368" max="15368" width="9.140625" style="97"/>
    <col min="15369" max="15372" width="16.85546875" style="97" bestFit="1" customWidth="1"/>
    <col min="15373" max="15615" width="9.140625" style="97"/>
    <col min="15616" max="15616" width="9.5703125" style="97" bestFit="1" customWidth="1"/>
    <col min="15617" max="15617" width="38" style="97" bestFit="1" customWidth="1"/>
    <col min="15618" max="15619" width="6.140625" style="97" bestFit="1" customWidth="1"/>
    <col min="15620" max="15620" width="14.140625" style="97" bestFit="1" customWidth="1"/>
    <col min="15621" max="15621" width="51.42578125" style="97" bestFit="1" customWidth="1"/>
    <col min="15622" max="15622" width="16.28515625" style="97" bestFit="1" customWidth="1"/>
    <col min="15623" max="15623" width="16.85546875" style="97" bestFit="1" customWidth="1"/>
    <col min="15624" max="15624" width="9.140625" style="97"/>
    <col min="15625" max="15628" width="16.85546875" style="97" bestFit="1" customWidth="1"/>
    <col min="15629" max="15871" width="9.140625" style="97"/>
    <col min="15872" max="15872" width="9.5703125" style="97" bestFit="1" customWidth="1"/>
    <col min="15873" max="15873" width="38" style="97" bestFit="1" customWidth="1"/>
    <col min="15874" max="15875" width="6.140625" style="97" bestFit="1" customWidth="1"/>
    <col min="15876" max="15876" width="14.140625" style="97" bestFit="1" customWidth="1"/>
    <col min="15877" max="15877" width="51.42578125" style="97" bestFit="1" customWidth="1"/>
    <col min="15878" max="15878" width="16.28515625" style="97" bestFit="1" customWidth="1"/>
    <col min="15879" max="15879" width="16.85546875" style="97" bestFit="1" customWidth="1"/>
    <col min="15880" max="15880" width="9.140625" style="97"/>
    <col min="15881" max="15884" width="16.85546875" style="97" bestFit="1" customWidth="1"/>
    <col min="15885" max="16127" width="9.140625" style="97"/>
    <col min="16128" max="16128" width="9.5703125" style="97" bestFit="1" customWidth="1"/>
    <col min="16129" max="16129" width="38" style="97" bestFit="1" customWidth="1"/>
    <col min="16130" max="16131" width="6.140625" style="97" bestFit="1" customWidth="1"/>
    <col min="16132" max="16132" width="14.140625" style="97" bestFit="1" customWidth="1"/>
    <col min="16133" max="16133" width="51.42578125" style="97" bestFit="1" customWidth="1"/>
    <col min="16134" max="16134" width="16.28515625" style="97" bestFit="1" customWidth="1"/>
    <col min="16135" max="16135" width="16.85546875" style="97" bestFit="1" customWidth="1"/>
    <col min="16136" max="16136" width="9.140625" style="97"/>
    <col min="16137" max="16140" width="16.85546875" style="97" bestFit="1" customWidth="1"/>
    <col min="16141" max="16384" width="9.140625" style="97"/>
  </cols>
  <sheetData>
    <row r="2" spans="1:12" ht="20.25" x14ac:dyDescent="0.2">
      <c r="A2" s="135" t="s">
        <v>488</v>
      </c>
      <c r="B2" s="135"/>
      <c r="C2" s="135"/>
      <c r="D2" s="135"/>
      <c r="E2" s="135"/>
      <c r="F2" s="135"/>
      <c r="G2" s="135"/>
      <c r="J2" s="97"/>
      <c r="K2" s="97"/>
      <c r="L2" s="97"/>
    </row>
    <row r="4" spans="1:12" s="105" customFormat="1" ht="33.75" x14ac:dyDescent="0.2">
      <c r="A4" s="101" t="s">
        <v>0</v>
      </c>
      <c r="B4" s="102" t="s">
        <v>1</v>
      </c>
      <c r="C4" s="102" t="s">
        <v>2</v>
      </c>
      <c r="D4" s="103" t="s">
        <v>3</v>
      </c>
      <c r="E4" s="104" t="s">
        <v>4</v>
      </c>
      <c r="F4" s="103" t="s">
        <v>5</v>
      </c>
      <c r="G4" s="103" t="s">
        <v>673</v>
      </c>
      <c r="I4" s="103" t="s">
        <v>490</v>
      </c>
      <c r="J4" s="103" t="s">
        <v>491</v>
      </c>
      <c r="K4" s="103" t="s">
        <v>492</v>
      </c>
      <c r="L4" s="103" t="s">
        <v>493</v>
      </c>
    </row>
    <row r="6" spans="1:12" ht="13.5" thickBot="1" x14ac:dyDescent="0.25">
      <c r="A6" s="106">
        <v>0</v>
      </c>
      <c r="B6" s="107" t="s">
        <v>308</v>
      </c>
      <c r="C6" s="106">
        <v>0</v>
      </c>
      <c r="D6" s="106">
        <v>4112</v>
      </c>
      <c r="E6" s="108">
        <v>6171000000000</v>
      </c>
      <c r="F6" s="109" t="s">
        <v>308</v>
      </c>
      <c r="G6" s="96">
        <v>78804.800000000003</v>
      </c>
      <c r="I6" s="96">
        <v>71174.899999999994</v>
      </c>
      <c r="J6" s="96">
        <v>55900.125</v>
      </c>
      <c r="K6" s="96"/>
      <c r="L6" s="96"/>
    </row>
    <row r="7" spans="1:12" x14ac:dyDescent="0.2">
      <c r="A7" s="110"/>
      <c r="B7" s="111" t="s">
        <v>17</v>
      </c>
      <c r="C7" s="112">
        <v>0</v>
      </c>
      <c r="D7" s="113"/>
      <c r="E7" s="114"/>
      <c r="F7" s="115"/>
      <c r="G7" s="116">
        <f t="shared" ref="G7:L7" si="0">SUM(G6)</f>
        <v>78804.800000000003</v>
      </c>
      <c r="I7" s="116">
        <f>SUM(I6)</f>
        <v>71174.899999999994</v>
      </c>
      <c r="J7" s="116">
        <f>SUM(J6)</f>
        <v>55900.125</v>
      </c>
      <c r="K7" s="116">
        <f t="shared" si="0"/>
        <v>0</v>
      </c>
      <c r="L7" s="116">
        <f t="shared" si="0"/>
        <v>0</v>
      </c>
    </row>
    <row r="9" spans="1:12" x14ac:dyDescent="0.2">
      <c r="A9" s="124"/>
      <c r="B9" s="125" t="s">
        <v>309</v>
      </c>
      <c r="C9" s="126"/>
      <c r="D9" s="127"/>
      <c r="E9" s="128"/>
      <c r="F9" s="129"/>
      <c r="G9" s="130">
        <f t="shared" ref="G9:L9" si="1">SUM(G7)</f>
        <v>78804.800000000003</v>
      </c>
      <c r="I9" s="130">
        <f t="shared" si="1"/>
        <v>71174.899999999994</v>
      </c>
      <c r="J9" s="130">
        <f t="shared" si="1"/>
        <v>55900.125</v>
      </c>
      <c r="K9" s="130">
        <f t="shared" si="1"/>
        <v>0</v>
      </c>
      <c r="L9" s="130">
        <f t="shared" si="1"/>
        <v>0</v>
      </c>
    </row>
    <row r="12" spans="1:12" x14ac:dyDescent="0.2">
      <c r="A12" s="106">
        <v>100</v>
      </c>
      <c r="B12" s="107" t="s">
        <v>411</v>
      </c>
      <c r="C12" s="106">
        <v>0</v>
      </c>
      <c r="D12" s="106">
        <v>4116</v>
      </c>
      <c r="E12" s="108">
        <v>80</v>
      </c>
      <c r="F12" s="109" t="s">
        <v>412</v>
      </c>
      <c r="G12" s="96">
        <v>0</v>
      </c>
      <c r="I12" s="96">
        <v>0</v>
      </c>
      <c r="J12" s="96">
        <v>0</v>
      </c>
      <c r="K12" s="96">
        <v>0</v>
      </c>
      <c r="L12" s="96">
        <v>0</v>
      </c>
    </row>
    <row r="13" spans="1:12" ht="13.5" thickBot="1" x14ac:dyDescent="0.25">
      <c r="A13" s="106">
        <v>100</v>
      </c>
      <c r="B13" s="107" t="s">
        <v>411</v>
      </c>
      <c r="C13" s="106">
        <v>0</v>
      </c>
      <c r="D13" s="106">
        <v>4116</v>
      </c>
      <c r="E13" s="108">
        <v>80</v>
      </c>
      <c r="F13" s="109" t="s">
        <v>413</v>
      </c>
      <c r="G13" s="96">
        <v>0</v>
      </c>
      <c r="I13" s="96">
        <v>0</v>
      </c>
      <c r="J13" s="96">
        <v>0</v>
      </c>
      <c r="K13" s="96">
        <v>0</v>
      </c>
      <c r="L13" s="96">
        <v>0</v>
      </c>
    </row>
    <row r="14" spans="1:12" x14ac:dyDescent="0.2">
      <c r="A14" s="110"/>
      <c r="B14" s="111" t="s">
        <v>17</v>
      </c>
      <c r="C14" s="112">
        <v>0</v>
      </c>
      <c r="D14" s="113"/>
      <c r="E14" s="114"/>
      <c r="F14" s="115"/>
      <c r="G14" s="116">
        <f t="shared" ref="G14:L14" si="2">SUM(G12:G13)</f>
        <v>0</v>
      </c>
      <c r="I14" s="116">
        <f t="shared" si="2"/>
        <v>0</v>
      </c>
      <c r="J14" s="116">
        <f t="shared" si="2"/>
        <v>0</v>
      </c>
      <c r="K14" s="116">
        <f t="shared" si="2"/>
        <v>0</v>
      </c>
      <c r="L14" s="116">
        <f t="shared" si="2"/>
        <v>0</v>
      </c>
    </row>
    <row r="16" spans="1:12" ht="13.5" thickBot="1" x14ac:dyDescent="0.25">
      <c r="A16" s="106">
        <v>100</v>
      </c>
      <c r="B16" s="107" t="s">
        <v>310</v>
      </c>
      <c r="C16" s="106">
        <v>3314</v>
      </c>
      <c r="D16" s="106">
        <v>2111</v>
      </c>
      <c r="E16" s="108">
        <v>3314000000000</v>
      </c>
      <c r="F16" s="109" t="s">
        <v>414</v>
      </c>
      <c r="G16" s="96">
        <v>55</v>
      </c>
      <c r="I16" s="96">
        <v>55</v>
      </c>
      <c r="J16" s="96">
        <v>54.95</v>
      </c>
      <c r="K16" s="96"/>
      <c r="L16" s="96"/>
    </row>
    <row r="17" spans="1:12" x14ac:dyDescent="0.2">
      <c r="A17" s="110"/>
      <c r="B17" s="111" t="s">
        <v>17</v>
      </c>
      <c r="C17" s="112">
        <v>3314</v>
      </c>
      <c r="D17" s="113"/>
      <c r="E17" s="114"/>
      <c r="F17" s="115"/>
      <c r="G17" s="116">
        <f t="shared" ref="G17:L17" si="3">SUM(G16)</f>
        <v>55</v>
      </c>
      <c r="I17" s="116">
        <f t="shared" si="3"/>
        <v>55</v>
      </c>
      <c r="J17" s="116">
        <f t="shared" si="3"/>
        <v>54.95</v>
      </c>
      <c r="K17" s="116">
        <f t="shared" si="3"/>
        <v>0</v>
      </c>
      <c r="L17" s="116">
        <f t="shared" si="3"/>
        <v>0</v>
      </c>
    </row>
    <row r="19" spans="1:12" ht="13.5" thickBot="1" x14ac:dyDescent="0.25">
      <c r="A19" s="106">
        <v>100</v>
      </c>
      <c r="B19" s="107" t="s">
        <v>311</v>
      </c>
      <c r="C19" s="106">
        <v>3349</v>
      </c>
      <c r="D19" s="106">
        <v>2111</v>
      </c>
      <c r="E19" s="108">
        <v>3349000000000</v>
      </c>
      <c r="F19" s="109" t="s">
        <v>312</v>
      </c>
      <c r="G19" s="96">
        <v>480</v>
      </c>
      <c r="I19" s="96">
        <v>480</v>
      </c>
      <c r="J19" s="96">
        <v>143.72409999999999</v>
      </c>
      <c r="K19" s="96"/>
      <c r="L19" s="96"/>
    </row>
    <row r="20" spans="1:12" x14ac:dyDescent="0.2">
      <c r="A20" s="110"/>
      <c r="B20" s="111" t="s">
        <v>17</v>
      </c>
      <c r="C20" s="112">
        <v>3349</v>
      </c>
      <c r="D20" s="113"/>
      <c r="E20" s="114"/>
      <c r="F20" s="115"/>
      <c r="G20" s="116">
        <f t="shared" ref="G20:L20" si="4">SUM(G19)</f>
        <v>480</v>
      </c>
      <c r="I20" s="116">
        <f t="shared" si="4"/>
        <v>480</v>
      </c>
      <c r="J20" s="116">
        <f t="shared" si="4"/>
        <v>143.72409999999999</v>
      </c>
      <c r="K20" s="116">
        <f t="shared" si="4"/>
        <v>0</v>
      </c>
      <c r="L20" s="116">
        <f t="shared" si="4"/>
        <v>0</v>
      </c>
    </row>
    <row r="22" spans="1:12" x14ac:dyDescent="0.2">
      <c r="A22" s="106">
        <v>100</v>
      </c>
      <c r="B22" s="107" t="s">
        <v>313</v>
      </c>
      <c r="C22" s="106">
        <v>3399</v>
      </c>
      <c r="D22" s="106">
        <v>2111</v>
      </c>
      <c r="E22" s="108">
        <v>3399000000000</v>
      </c>
      <c r="F22" s="109" t="s">
        <v>314</v>
      </c>
      <c r="G22" s="96">
        <v>220</v>
      </c>
      <c r="I22" s="96">
        <v>220</v>
      </c>
      <c r="J22" s="96">
        <v>63.8</v>
      </c>
      <c r="K22" s="96"/>
      <c r="L22" s="96"/>
    </row>
    <row r="23" spans="1:12" ht="13.5" thickBot="1" x14ac:dyDescent="0.25">
      <c r="A23" s="106">
        <v>100</v>
      </c>
      <c r="B23" s="107" t="s">
        <v>313</v>
      </c>
      <c r="C23" s="106">
        <v>3399</v>
      </c>
      <c r="D23" s="106">
        <v>2112</v>
      </c>
      <c r="E23" s="108">
        <v>3399000000000</v>
      </c>
      <c r="F23" s="109" t="s">
        <v>315</v>
      </c>
      <c r="G23" s="96">
        <v>20</v>
      </c>
      <c r="I23" s="96">
        <v>20</v>
      </c>
      <c r="J23" s="96">
        <v>4.1550000000000002</v>
      </c>
      <c r="K23" s="96"/>
      <c r="L23" s="96"/>
    </row>
    <row r="24" spans="1:12" x14ac:dyDescent="0.2">
      <c r="A24" s="110"/>
      <c r="B24" s="111" t="s">
        <v>17</v>
      </c>
      <c r="C24" s="112">
        <v>3399</v>
      </c>
      <c r="D24" s="113"/>
      <c r="E24" s="114"/>
      <c r="F24" s="115"/>
      <c r="G24" s="116">
        <f t="shared" ref="G24:L24" si="5">SUM(G22:G23)</f>
        <v>240</v>
      </c>
      <c r="I24" s="116">
        <f t="shared" si="5"/>
        <v>240</v>
      </c>
      <c r="J24" s="116">
        <f t="shared" si="5"/>
        <v>67.954999999999998</v>
      </c>
      <c r="K24" s="116">
        <f t="shared" si="5"/>
        <v>0</v>
      </c>
      <c r="L24" s="116">
        <f t="shared" si="5"/>
        <v>0</v>
      </c>
    </row>
    <row r="26" spans="1:12" x14ac:dyDescent="0.2">
      <c r="A26" s="124"/>
      <c r="B26" s="125" t="s">
        <v>65</v>
      </c>
      <c r="C26" s="126"/>
      <c r="D26" s="127"/>
      <c r="E26" s="128"/>
      <c r="F26" s="129"/>
      <c r="G26" s="130">
        <f t="shared" ref="G26:L26" si="6">SUM(G24,G20,G17,G14)</f>
        <v>775</v>
      </c>
      <c r="I26" s="130">
        <f t="shared" si="6"/>
        <v>775</v>
      </c>
      <c r="J26" s="130">
        <f t="shared" si="6"/>
        <v>266.62909999999999</v>
      </c>
      <c r="K26" s="130">
        <f t="shared" si="6"/>
        <v>0</v>
      </c>
      <c r="L26" s="130">
        <f t="shared" si="6"/>
        <v>0</v>
      </c>
    </row>
    <row r="29" spans="1:12" ht="13.5" thickBot="1" x14ac:dyDescent="0.25">
      <c r="A29" s="106">
        <v>300</v>
      </c>
      <c r="B29" s="107" t="s">
        <v>316</v>
      </c>
      <c r="C29" s="106">
        <v>6171</v>
      </c>
      <c r="D29" s="106">
        <v>2329</v>
      </c>
      <c r="E29" s="108">
        <v>6171030000000</v>
      </c>
      <c r="F29" s="109" t="s">
        <v>317</v>
      </c>
      <c r="G29" s="96">
        <v>3.5</v>
      </c>
      <c r="I29" s="96">
        <v>3.5</v>
      </c>
      <c r="J29" s="96">
        <v>1.536</v>
      </c>
      <c r="K29" s="96"/>
      <c r="L29" s="96"/>
    </row>
    <row r="30" spans="1:12" x14ac:dyDescent="0.2">
      <c r="A30" s="110"/>
      <c r="B30" s="111" t="s">
        <v>17</v>
      </c>
      <c r="C30" s="112">
        <v>6171</v>
      </c>
      <c r="D30" s="113"/>
      <c r="E30" s="114"/>
      <c r="F30" s="115"/>
      <c r="G30" s="116">
        <f t="shared" ref="G30:L30" si="7">SUM(G29)</f>
        <v>3.5</v>
      </c>
      <c r="I30" s="116">
        <f t="shared" si="7"/>
        <v>3.5</v>
      </c>
      <c r="J30" s="116">
        <f t="shared" si="7"/>
        <v>1.536</v>
      </c>
      <c r="K30" s="116">
        <f t="shared" si="7"/>
        <v>0</v>
      </c>
      <c r="L30" s="116">
        <f t="shared" si="7"/>
        <v>0</v>
      </c>
    </row>
    <row r="32" spans="1:12" x14ac:dyDescent="0.2">
      <c r="A32" s="124"/>
      <c r="B32" s="125" t="s">
        <v>100</v>
      </c>
      <c r="C32" s="126"/>
      <c r="D32" s="127"/>
      <c r="E32" s="128"/>
      <c r="F32" s="129"/>
      <c r="G32" s="130">
        <f t="shared" ref="G32:L32" si="8">SUM(G30)</f>
        <v>3.5</v>
      </c>
      <c r="I32" s="130">
        <f t="shared" si="8"/>
        <v>3.5</v>
      </c>
      <c r="J32" s="130">
        <f t="shared" si="8"/>
        <v>1.536</v>
      </c>
      <c r="K32" s="130">
        <f t="shared" si="8"/>
        <v>0</v>
      </c>
      <c r="L32" s="130">
        <f t="shared" si="8"/>
        <v>0</v>
      </c>
    </row>
    <row r="35" spans="1:12" x14ac:dyDescent="0.2">
      <c r="A35" s="106">
        <v>320</v>
      </c>
      <c r="B35" s="107" t="s">
        <v>318</v>
      </c>
      <c r="C35" s="106">
        <v>0</v>
      </c>
      <c r="D35" s="106">
        <v>4116</v>
      </c>
      <c r="E35" s="108">
        <v>4339000000000</v>
      </c>
      <c r="F35" s="109" t="s">
        <v>318</v>
      </c>
      <c r="G35" s="96">
        <v>2112</v>
      </c>
      <c r="I35" s="96"/>
      <c r="J35" s="96"/>
      <c r="K35" s="96"/>
      <c r="L35" s="96"/>
    </row>
    <row r="36" spans="1:12" ht="13.5" thickBot="1" x14ac:dyDescent="0.25">
      <c r="A36" s="106">
        <v>320</v>
      </c>
      <c r="B36" s="107" t="s">
        <v>319</v>
      </c>
      <c r="C36" s="106">
        <v>0</v>
      </c>
      <c r="D36" s="106">
        <v>4116</v>
      </c>
      <c r="E36" s="108">
        <v>6171032000000</v>
      </c>
      <c r="F36" s="109" t="s">
        <v>678</v>
      </c>
      <c r="G36" s="96">
        <v>24553.93</v>
      </c>
      <c r="I36" s="96"/>
      <c r="J36" s="96"/>
      <c r="K36" s="96"/>
      <c r="L36" s="96"/>
    </row>
    <row r="37" spans="1:12" x14ac:dyDescent="0.2">
      <c r="A37" s="110"/>
      <c r="B37" s="111" t="s">
        <v>17</v>
      </c>
      <c r="C37" s="112">
        <v>0</v>
      </c>
      <c r="D37" s="113"/>
      <c r="E37" s="114"/>
      <c r="F37" s="115"/>
      <c r="G37" s="116">
        <f t="shared" ref="G37:L37" si="9">SUM(G35:G36)</f>
        <v>26665.93</v>
      </c>
      <c r="I37" s="116">
        <f t="shared" si="9"/>
        <v>0</v>
      </c>
      <c r="J37" s="116">
        <f t="shared" si="9"/>
        <v>0</v>
      </c>
      <c r="K37" s="116">
        <f t="shared" si="9"/>
        <v>0</v>
      </c>
      <c r="L37" s="116">
        <f t="shared" si="9"/>
        <v>0</v>
      </c>
    </row>
    <row r="39" spans="1:12" x14ac:dyDescent="0.2">
      <c r="A39" s="124"/>
      <c r="B39" s="125" t="s">
        <v>122</v>
      </c>
      <c r="C39" s="126"/>
      <c r="D39" s="127"/>
      <c r="E39" s="128"/>
      <c r="F39" s="129"/>
      <c r="G39" s="130">
        <f t="shared" ref="G39:L39" si="10">SUM(G37)</f>
        <v>26665.93</v>
      </c>
      <c r="I39" s="130">
        <f t="shared" si="10"/>
        <v>0</v>
      </c>
      <c r="J39" s="130">
        <f t="shared" si="10"/>
        <v>0</v>
      </c>
      <c r="K39" s="130">
        <f t="shared" si="10"/>
        <v>0</v>
      </c>
      <c r="L39" s="130">
        <f t="shared" si="10"/>
        <v>0</v>
      </c>
    </row>
    <row r="42" spans="1:12" ht="13.5" thickBot="1" x14ac:dyDescent="0.25">
      <c r="A42" s="106">
        <v>500</v>
      </c>
      <c r="B42" s="107" t="s">
        <v>320</v>
      </c>
      <c r="C42" s="106">
        <v>0</v>
      </c>
      <c r="D42" s="106">
        <v>1361</v>
      </c>
      <c r="E42" s="108">
        <v>6171050000000</v>
      </c>
      <c r="F42" s="109" t="s">
        <v>321</v>
      </c>
      <c r="G42" s="96">
        <v>2500</v>
      </c>
      <c r="I42" s="96">
        <v>3000</v>
      </c>
      <c r="J42" s="96">
        <v>1565.6</v>
      </c>
      <c r="K42" s="96"/>
      <c r="L42" s="96"/>
    </row>
    <row r="43" spans="1:12" x14ac:dyDescent="0.2">
      <c r="A43" s="110"/>
      <c r="B43" s="111" t="s">
        <v>17</v>
      </c>
      <c r="C43" s="112">
        <v>0</v>
      </c>
      <c r="D43" s="113"/>
      <c r="E43" s="114"/>
      <c r="F43" s="115"/>
      <c r="G43" s="116">
        <f t="shared" ref="G43:L43" si="11">SUM(G42)</f>
        <v>2500</v>
      </c>
      <c r="I43" s="116">
        <f t="shared" si="11"/>
        <v>3000</v>
      </c>
      <c r="J43" s="116">
        <f t="shared" si="11"/>
        <v>1565.6</v>
      </c>
      <c r="K43" s="116">
        <f t="shared" si="11"/>
        <v>0</v>
      </c>
      <c r="L43" s="116">
        <f t="shared" si="11"/>
        <v>0</v>
      </c>
    </row>
    <row r="45" spans="1:12" x14ac:dyDescent="0.2">
      <c r="A45" s="106">
        <v>500</v>
      </c>
      <c r="B45" s="107" t="s">
        <v>320</v>
      </c>
      <c r="C45" s="106">
        <v>2169</v>
      </c>
      <c r="D45" s="106">
        <v>2212</v>
      </c>
      <c r="E45" s="108">
        <v>2169000000000</v>
      </c>
      <c r="F45" s="109" t="s">
        <v>415</v>
      </c>
      <c r="G45" s="96">
        <v>0</v>
      </c>
      <c r="I45" s="96">
        <v>250</v>
      </c>
      <c r="J45" s="96">
        <v>115.4</v>
      </c>
      <c r="K45" s="96"/>
      <c r="L45" s="96"/>
    </row>
    <row r="46" spans="1:12" ht="13.5" thickBot="1" x14ac:dyDescent="0.25">
      <c r="A46" s="106">
        <v>500</v>
      </c>
      <c r="B46" s="107" t="s">
        <v>320</v>
      </c>
      <c r="C46" s="106">
        <v>2169</v>
      </c>
      <c r="D46" s="106">
        <v>2212</v>
      </c>
      <c r="E46" s="108">
        <v>6171050000000</v>
      </c>
      <c r="F46" s="109" t="s">
        <v>322</v>
      </c>
      <c r="G46" s="96">
        <v>200</v>
      </c>
      <c r="I46" s="96"/>
      <c r="J46" s="96"/>
      <c r="K46" s="96"/>
      <c r="L46" s="96"/>
    </row>
    <row r="47" spans="1:12" x14ac:dyDescent="0.2">
      <c r="A47" s="110"/>
      <c r="B47" s="111" t="s">
        <v>17</v>
      </c>
      <c r="C47" s="112">
        <v>2169</v>
      </c>
      <c r="D47" s="113"/>
      <c r="E47" s="114"/>
      <c r="F47" s="115"/>
      <c r="G47" s="116">
        <f t="shared" ref="G47:L47" si="12">SUM(G45:G46)</f>
        <v>200</v>
      </c>
      <c r="I47" s="116">
        <f t="shared" si="12"/>
        <v>250</v>
      </c>
      <c r="J47" s="116">
        <f t="shared" si="12"/>
        <v>115.4</v>
      </c>
      <c r="K47" s="116">
        <f t="shared" si="12"/>
        <v>0</v>
      </c>
      <c r="L47" s="116">
        <f t="shared" si="12"/>
        <v>0</v>
      </c>
    </row>
    <row r="49" spans="1:12" ht="13.5" thickBot="1" x14ac:dyDescent="0.25">
      <c r="A49" s="106">
        <v>500</v>
      </c>
      <c r="B49" s="107" t="s">
        <v>320</v>
      </c>
      <c r="C49" s="106">
        <v>6171</v>
      </c>
      <c r="D49" s="106">
        <v>2324</v>
      </c>
      <c r="E49" s="108">
        <v>6171050000000</v>
      </c>
      <c r="F49" s="109" t="s">
        <v>323</v>
      </c>
      <c r="G49" s="96">
        <v>100</v>
      </c>
      <c r="I49" s="96">
        <v>120</v>
      </c>
      <c r="J49" s="96">
        <v>26.321000000000002</v>
      </c>
      <c r="K49" s="96"/>
      <c r="L49" s="96"/>
    </row>
    <row r="50" spans="1:12" x14ac:dyDescent="0.2">
      <c r="A50" s="110"/>
      <c r="B50" s="111" t="s">
        <v>17</v>
      </c>
      <c r="C50" s="112">
        <v>6171</v>
      </c>
      <c r="D50" s="113"/>
      <c r="E50" s="114"/>
      <c r="F50" s="115"/>
      <c r="G50" s="116">
        <f t="shared" ref="G50:L50" si="13">SUM(G49)</f>
        <v>100</v>
      </c>
      <c r="I50" s="116">
        <f t="shared" si="13"/>
        <v>120</v>
      </c>
      <c r="J50" s="116">
        <f t="shared" si="13"/>
        <v>26.321000000000002</v>
      </c>
      <c r="K50" s="116">
        <f t="shared" si="13"/>
        <v>0</v>
      </c>
      <c r="L50" s="116">
        <f t="shared" si="13"/>
        <v>0</v>
      </c>
    </row>
    <row r="52" spans="1:12" x14ac:dyDescent="0.2">
      <c r="A52" s="124"/>
      <c r="B52" s="125" t="s">
        <v>133</v>
      </c>
      <c r="C52" s="126"/>
      <c r="D52" s="127"/>
      <c r="E52" s="128"/>
      <c r="F52" s="129"/>
      <c r="G52" s="130">
        <f t="shared" ref="G52:L52" si="14">SUM(G50,G47,G43)</f>
        <v>2800</v>
      </c>
      <c r="I52" s="130">
        <f t="shared" si="14"/>
        <v>3370</v>
      </c>
      <c r="J52" s="130">
        <f t="shared" si="14"/>
        <v>1707.3209999999999</v>
      </c>
      <c r="K52" s="130">
        <f t="shared" si="14"/>
        <v>0</v>
      </c>
      <c r="L52" s="130">
        <f t="shared" si="14"/>
        <v>0</v>
      </c>
    </row>
    <row r="55" spans="1:12" ht="13.5" thickBot="1" x14ac:dyDescent="0.25">
      <c r="A55" s="106">
        <v>600</v>
      </c>
      <c r="B55" s="107" t="s">
        <v>324</v>
      </c>
      <c r="C55" s="106">
        <v>0</v>
      </c>
      <c r="D55" s="106">
        <v>1361</v>
      </c>
      <c r="E55" s="108">
        <v>6171060000000</v>
      </c>
      <c r="F55" s="109" t="s">
        <v>321</v>
      </c>
      <c r="G55" s="96">
        <v>800</v>
      </c>
      <c r="I55" s="96">
        <v>800</v>
      </c>
      <c r="J55" s="96">
        <v>649.69500000000005</v>
      </c>
      <c r="K55" s="96"/>
      <c r="L55" s="96"/>
    </row>
    <row r="56" spans="1:12" x14ac:dyDescent="0.2">
      <c r="A56" s="110"/>
      <c r="B56" s="111" t="s">
        <v>17</v>
      </c>
      <c r="C56" s="112">
        <v>0</v>
      </c>
      <c r="D56" s="113"/>
      <c r="E56" s="114"/>
      <c r="F56" s="115"/>
      <c r="G56" s="116">
        <f t="shared" ref="G56:L56" si="15">SUM(G55)</f>
        <v>800</v>
      </c>
      <c r="I56" s="116">
        <f t="shared" si="15"/>
        <v>800</v>
      </c>
      <c r="J56" s="116">
        <f t="shared" si="15"/>
        <v>649.69500000000005</v>
      </c>
      <c r="K56" s="116">
        <f t="shared" si="15"/>
        <v>0</v>
      </c>
      <c r="L56" s="116">
        <f t="shared" si="15"/>
        <v>0</v>
      </c>
    </row>
    <row r="58" spans="1:12" ht="13.5" thickBot="1" x14ac:dyDescent="0.25">
      <c r="A58" s="106">
        <v>600</v>
      </c>
      <c r="B58" s="107" t="s">
        <v>324</v>
      </c>
      <c r="C58" s="106">
        <v>3769</v>
      </c>
      <c r="D58" s="106">
        <v>2212</v>
      </c>
      <c r="E58" s="108">
        <v>3769000000000</v>
      </c>
      <c r="F58" s="109" t="s">
        <v>325</v>
      </c>
      <c r="G58" s="96">
        <v>100</v>
      </c>
      <c r="I58" s="96"/>
      <c r="J58" s="96"/>
      <c r="K58" s="96"/>
      <c r="L58" s="96"/>
    </row>
    <row r="59" spans="1:12" x14ac:dyDescent="0.2">
      <c r="A59" s="110"/>
      <c r="B59" s="111" t="s">
        <v>17</v>
      </c>
      <c r="C59" s="112">
        <v>3769</v>
      </c>
      <c r="D59" s="113"/>
      <c r="E59" s="114"/>
      <c r="F59" s="115"/>
      <c r="G59" s="116">
        <f t="shared" ref="G59:L59" si="16">SUM(G58)</f>
        <v>100</v>
      </c>
      <c r="I59" s="116">
        <f t="shared" si="16"/>
        <v>0</v>
      </c>
      <c r="J59" s="116">
        <f t="shared" si="16"/>
        <v>0</v>
      </c>
      <c r="K59" s="116">
        <f t="shared" si="16"/>
        <v>0</v>
      </c>
      <c r="L59" s="116">
        <f t="shared" si="16"/>
        <v>0</v>
      </c>
    </row>
    <row r="61" spans="1:12" x14ac:dyDescent="0.2">
      <c r="A61" s="124"/>
      <c r="B61" s="125" t="s">
        <v>139</v>
      </c>
      <c r="C61" s="126"/>
      <c r="D61" s="127"/>
      <c r="E61" s="128"/>
      <c r="F61" s="129"/>
      <c r="G61" s="130">
        <f t="shared" ref="G61:L61" si="17">SUM(G59,G56)</f>
        <v>900</v>
      </c>
      <c r="I61" s="130">
        <f t="shared" si="17"/>
        <v>800</v>
      </c>
      <c r="J61" s="130">
        <f t="shared" si="17"/>
        <v>649.69500000000005</v>
      </c>
      <c r="K61" s="130">
        <f t="shared" si="17"/>
        <v>0</v>
      </c>
      <c r="L61" s="130">
        <f t="shared" si="17"/>
        <v>0</v>
      </c>
    </row>
    <row r="64" spans="1:12" x14ac:dyDescent="0.2">
      <c r="A64" s="106">
        <v>700</v>
      </c>
      <c r="B64" s="107" t="s">
        <v>326</v>
      </c>
      <c r="C64" s="106">
        <v>0</v>
      </c>
      <c r="D64" s="106">
        <v>1361</v>
      </c>
      <c r="E64" s="108">
        <v>6171070000000</v>
      </c>
      <c r="F64" s="109" t="s">
        <v>321</v>
      </c>
      <c r="G64" s="96">
        <v>35000</v>
      </c>
      <c r="I64" s="96">
        <v>33700</v>
      </c>
      <c r="J64" s="96">
        <v>30307.16</v>
      </c>
      <c r="K64" s="96"/>
      <c r="L64" s="96"/>
    </row>
    <row r="65" spans="1:12" ht="13.5" thickBot="1" x14ac:dyDescent="0.25">
      <c r="A65" s="106">
        <v>700</v>
      </c>
      <c r="B65" s="107" t="s">
        <v>326</v>
      </c>
      <c r="C65" s="106">
        <v>0</v>
      </c>
      <c r="D65" s="106">
        <v>4121</v>
      </c>
      <c r="E65" s="108">
        <v>6171070000000</v>
      </c>
      <c r="F65" s="109" t="s">
        <v>327</v>
      </c>
      <c r="G65" s="96">
        <v>3</v>
      </c>
      <c r="I65" s="96">
        <v>3</v>
      </c>
      <c r="J65" s="96">
        <v>3</v>
      </c>
      <c r="K65" s="96"/>
      <c r="L65" s="96"/>
    </row>
    <row r="66" spans="1:12" x14ac:dyDescent="0.2">
      <c r="A66" s="110"/>
      <c r="B66" s="111" t="s">
        <v>17</v>
      </c>
      <c r="C66" s="112">
        <v>0</v>
      </c>
      <c r="D66" s="113"/>
      <c r="E66" s="114"/>
      <c r="F66" s="115"/>
      <c r="G66" s="116">
        <f t="shared" ref="G66:L66" si="18">SUM(G64:G65)</f>
        <v>35003</v>
      </c>
      <c r="I66" s="116">
        <f t="shared" si="18"/>
        <v>33703</v>
      </c>
      <c r="J66" s="116">
        <f t="shared" si="18"/>
        <v>30310.16</v>
      </c>
      <c r="K66" s="116">
        <f t="shared" si="18"/>
        <v>0</v>
      </c>
      <c r="L66" s="116">
        <f t="shared" si="18"/>
        <v>0</v>
      </c>
    </row>
    <row r="68" spans="1:12" ht="13.5" thickBot="1" x14ac:dyDescent="0.25">
      <c r="A68" s="106">
        <v>700</v>
      </c>
      <c r="B68" s="107" t="s">
        <v>326</v>
      </c>
      <c r="C68" s="106">
        <v>6171</v>
      </c>
      <c r="D68" s="106">
        <v>2212</v>
      </c>
      <c r="E68" s="108">
        <v>6171070000000</v>
      </c>
      <c r="F68" s="109" t="s">
        <v>328</v>
      </c>
      <c r="G68" s="96">
        <v>80</v>
      </c>
      <c r="I68" s="96">
        <v>150</v>
      </c>
      <c r="J68" s="96">
        <v>46.6</v>
      </c>
      <c r="K68" s="96"/>
      <c r="L68" s="96"/>
    </row>
    <row r="69" spans="1:12" x14ac:dyDescent="0.2">
      <c r="A69" s="110"/>
      <c r="B69" s="111" t="s">
        <v>17</v>
      </c>
      <c r="C69" s="112">
        <v>6171</v>
      </c>
      <c r="D69" s="113"/>
      <c r="E69" s="114"/>
      <c r="F69" s="115"/>
      <c r="G69" s="116">
        <f t="shared" ref="G69:L69" si="19">SUM(G68)</f>
        <v>80</v>
      </c>
      <c r="I69" s="116">
        <f t="shared" si="19"/>
        <v>150</v>
      </c>
      <c r="J69" s="116">
        <f t="shared" si="19"/>
        <v>46.6</v>
      </c>
      <c r="K69" s="116">
        <f t="shared" si="19"/>
        <v>0</v>
      </c>
      <c r="L69" s="116">
        <f t="shared" si="19"/>
        <v>0</v>
      </c>
    </row>
    <row r="71" spans="1:12" x14ac:dyDescent="0.2">
      <c r="A71" s="124"/>
      <c r="B71" s="125" t="s">
        <v>141</v>
      </c>
      <c r="C71" s="126"/>
      <c r="D71" s="127"/>
      <c r="E71" s="128"/>
      <c r="F71" s="129"/>
      <c r="G71" s="130">
        <f t="shared" ref="G71:L71" si="20">SUM(G69,G66)</f>
        <v>35083</v>
      </c>
      <c r="I71" s="130">
        <f t="shared" si="20"/>
        <v>33853</v>
      </c>
      <c r="J71" s="130">
        <f t="shared" si="20"/>
        <v>30356.76</v>
      </c>
      <c r="K71" s="130">
        <f t="shared" si="20"/>
        <v>0</v>
      </c>
      <c r="L71" s="130">
        <f t="shared" si="20"/>
        <v>0</v>
      </c>
    </row>
    <row r="74" spans="1:12" x14ac:dyDescent="0.2">
      <c r="A74" s="106">
        <v>900</v>
      </c>
      <c r="B74" s="107" t="s">
        <v>329</v>
      </c>
      <c r="C74" s="106">
        <v>0</v>
      </c>
      <c r="D74" s="106">
        <v>1111</v>
      </c>
      <c r="E74" s="108">
        <v>6171090000000</v>
      </c>
      <c r="F74" s="109" t="s">
        <v>330</v>
      </c>
      <c r="G74" s="96">
        <v>18000</v>
      </c>
      <c r="I74" s="96">
        <v>22000</v>
      </c>
      <c r="J74" s="96">
        <v>13626.82645</v>
      </c>
      <c r="K74" s="96"/>
      <c r="L74" s="96"/>
    </row>
    <row r="75" spans="1:12" x14ac:dyDescent="0.2">
      <c r="A75" s="106">
        <v>900</v>
      </c>
      <c r="B75" s="107" t="s">
        <v>331</v>
      </c>
      <c r="C75" s="106">
        <v>0</v>
      </c>
      <c r="D75" s="106">
        <v>1112</v>
      </c>
      <c r="E75" s="108">
        <v>6171090000000</v>
      </c>
      <c r="F75" s="109" t="s">
        <v>494</v>
      </c>
      <c r="G75" s="96">
        <v>500</v>
      </c>
      <c r="I75" s="96">
        <v>200</v>
      </c>
      <c r="J75" s="96">
        <v>680.31102999999996</v>
      </c>
      <c r="K75" s="96"/>
      <c r="L75" s="96"/>
    </row>
    <row r="76" spans="1:12" x14ac:dyDescent="0.2">
      <c r="A76" s="106">
        <v>900</v>
      </c>
      <c r="B76" s="107" t="s">
        <v>332</v>
      </c>
      <c r="C76" s="106">
        <v>0</v>
      </c>
      <c r="D76" s="106">
        <v>1113</v>
      </c>
      <c r="E76" s="108">
        <v>6171090000000</v>
      </c>
      <c r="F76" s="109" t="s">
        <v>332</v>
      </c>
      <c r="G76" s="96">
        <v>2500</v>
      </c>
      <c r="I76" s="96">
        <v>1800</v>
      </c>
      <c r="J76" s="96">
        <v>2423.0807199999999</v>
      </c>
      <c r="K76" s="96"/>
      <c r="L76" s="96"/>
    </row>
    <row r="77" spans="1:12" x14ac:dyDescent="0.2">
      <c r="A77" s="106">
        <v>900</v>
      </c>
      <c r="B77" s="107" t="s">
        <v>333</v>
      </c>
      <c r="C77" s="106">
        <v>0</v>
      </c>
      <c r="D77" s="106">
        <v>1121</v>
      </c>
      <c r="E77" s="108">
        <v>6171090000000</v>
      </c>
      <c r="F77" s="109" t="s">
        <v>334</v>
      </c>
      <c r="G77" s="96">
        <v>25000</v>
      </c>
      <c r="I77" s="96">
        <v>15000</v>
      </c>
      <c r="J77" s="96">
        <v>21775.394779999999</v>
      </c>
      <c r="K77" s="96"/>
      <c r="L77" s="96"/>
    </row>
    <row r="78" spans="1:12" x14ac:dyDescent="0.2">
      <c r="A78" s="106">
        <v>900</v>
      </c>
      <c r="B78" s="107" t="s">
        <v>174</v>
      </c>
      <c r="C78" s="106">
        <v>0</v>
      </c>
      <c r="D78" s="106">
        <v>1122</v>
      </c>
      <c r="E78" s="108">
        <v>6399000000000</v>
      </c>
      <c r="F78" s="109" t="s">
        <v>335</v>
      </c>
      <c r="G78" s="96">
        <v>7000</v>
      </c>
      <c r="I78" s="96">
        <v>6000</v>
      </c>
      <c r="J78" s="96">
        <v>7283.27</v>
      </c>
      <c r="K78" s="96"/>
      <c r="L78" s="96"/>
    </row>
    <row r="79" spans="1:12" x14ac:dyDescent="0.2">
      <c r="A79" s="106">
        <v>900</v>
      </c>
      <c r="B79" s="107" t="s">
        <v>336</v>
      </c>
      <c r="C79" s="106">
        <v>0</v>
      </c>
      <c r="D79" s="106">
        <v>1211</v>
      </c>
      <c r="E79" s="108">
        <v>6171090000000</v>
      </c>
      <c r="F79" s="109" t="s">
        <v>336</v>
      </c>
      <c r="G79" s="96">
        <v>60000</v>
      </c>
      <c r="I79" s="96">
        <v>43000</v>
      </c>
      <c r="J79" s="96">
        <v>43254.595560000002</v>
      </c>
      <c r="K79" s="96"/>
      <c r="L79" s="96"/>
    </row>
    <row r="80" spans="1:12" x14ac:dyDescent="0.2">
      <c r="A80" s="106">
        <v>900</v>
      </c>
      <c r="B80" s="107" t="s">
        <v>337</v>
      </c>
      <c r="C80" s="106">
        <v>0</v>
      </c>
      <c r="D80" s="106">
        <v>1340</v>
      </c>
      <c r="E80" s="108">
        <v>6171090000000</v>
      </c>
      <c r="F80" s="109" t="s">
        <v>338</v>
      </c>
      <c r="G80" s="96">
        <v>6800</v>
      </c>
      <c r="I80" s="96">
        <v>4600</v>
      </c>
      <c r="J80" s="96">
        <v>6689.973</v>
      </c>
      <c r="K80" s="96"/>
      <c r="L80" s="96"/>
    </row>
    <row r="81" spans="1:12" x14ac:dyDescent="0.2">
      <c r="A81" s="106">
        <v>900</v>
      </c>
      <c r="B81" s="107" t="s">
        <v>339</v>
      </c>
      <c r="C81" s="106">
        <v>0</v>
      </c>
      <c r="D81" s="106">
        <v>1341</v>
      </c>
      <c r="E81" s="108">
        <v>6171090000000</v>
      </c>
      <c r="F81" s="109" t="s">
        <v>340</v>
      </c>
      <c r="G81" s="96">
        <v>400</v>
      </c>
      <c r="I81" s="96">
        <v>400</v>
      </c>
      <c r="J81" s="96">
        <v>418.63600000000002</v>
      </c>
      <c r="K81" s="96"/>
      <c r="L81" s="96"/>
    </row>
    <row r="82" spans="1:12" x14ac:dyDescent="0.2">
      <c r="A82" s="106">
        <v>900</v>
      </c>
      <c r="B82" s="107" t="s">
        <v>416</v>
      </c>
      <c r="C82" s="106">
        <v>0</v>
      </c>
      <c r="D82" s="106">
        <v>1342</v>
      </c>
      <c r="E82" s="108">
        <v>6171090000000</v>
      </c>
      <c r="F82" s="109" t="s">
        <v>417</v>
      </c>
      <c r="G82" s="96">
        <v>25</v>
      </c>
      <c r="I82" s="96">
        <v>25</v>
      </c>
      <c r="J82" s="96">
        <v>31.943999999999999</v>
      </c>
      <c r="K82" s="96"/>
      <c r="L82" s="96"/>
    </row>
    <row r="83" spans="1:12" x14ac:dyDescent="0.2">
      <c r="A83" s="106">
        <v>900</v>
      </c>
      <c r="B83" s="107" t="s">
        <v>341</v>
      </c>
      <c r="C83" s="106">
        <v>0</v>
      </c>
      <c r="D83" s="106">
        <v>1361</v>
      </c>
      <c r="E83" s="108">
        <v>6171090000000</v>
      </c>
      <c r="F83" s="109" t="s">
        <v>342</v>
      </c>
      <c r="G83" s="96">
        <v>25</v>
      </c>
      <c r="I83" s="96">
        <v>0</v>
      </c>
      <c r="J83" s="96">
        <v>29.012</v>
      </c>
      <c r="K83" s="96"/>
      <c r="L83" s="96"/>
    </row>
    <row r="84" spans="1:12" x14ac:dyDescent="0.2">
      <c r="A84" s="106">
        <v>900</v>
      </c>
      <c r="B84" s="107" t="s">
        <v>343</v>
      </c>
      <c r="C84" s="106">
        <v>0</v>
      </c>
      <c r="D84" s="106">
        <v>1381</v>
      </c>
      <c r="E84" s="108">
        <v>6171090000000</v>
      </c>
      <c r="F84" s="109" t="s">
        <v>343</v>
      </c>
      <c r="G84" s="96">
        <v>600</v>
      </c>
      <c r="I84" s="96">
        <v>500</v>
      </c>
      <c r="J84" s="96">
        <v>680.87797</v>
      </c>
      <c r="K84" s="96"/>
      <c r="L84" s="96"/>
    </row>
    <row r="85" spans="1:12" ht="13.5" thickBot="1" x14ac:dyDescent="0.25">
      <c r="A85" s="106">
        <v>900</v>
      </c>
      <c r="B85" s="107" t="s">
        <v>344</v>
      </c>
      <c r="C85" s="106">
        <v>0</v>
      </c>
      <c r="D85" s="106">
        <v>1511</v>
      </c>
      <c r="E85" s="108">
        <v>6171090000000</v>
      </c>
      <c r="F85" s="109" t="s">
        <v>344</v>
      </c>
      <c r="G85" s="96">
        <v>12500</v>
      </c>
      <c r="I85" s="96">
        <v>12500</v>
      </c>
      <c r="J85" s="96">
        <v>11176.013000000001</v>
      </c>
      <c r="K85" s="96"/>
      <c r="L85" s="96"/>
    </row>
    <row r="86" spans="1:12" x14ac:dyDescent="0.2">
      <c r="A86" s="110"/>
      <c r="B86" s="111" t="s">
        <v>17</v>
      </c>
      <c r="C86" s="112">
        <v>0</v>
      </c>
      <c r="D86" s="113"/>
      <c r="E86" s="114"/>
      <c r="F86" s="115"/>
      <c r="G86" s="116">
        <f>SUM(G74:G85)</f>
        <v>133350</v>
      </c>
      <c r="I86" s="116">
        <f>SUM(I74:I85)</f>
        <v>106025</v>
      </c>
      <c r="J86" s="116">
        <f>SUM(J74:J85)</f>
        <v>108069.93451000002</v>
      </c>
      <c r="K86" s="116">
        <f>SUM(K74:K85)</f>
        <v>0</v>
      </c>
      <c r="L86" s="116">
        <f>SUM(L74:L85)</f>
        <v>0</v>
      </c>
    </row>
    <row r="87" spans="1:12" x14ac:dyDescent="0.2">
      <c r="A87" s="117"/>
      <c r="B87" s="118"/>
      <c r="C87" s="119"/>
      <c r="D87" s="120"/>
      <c r="E87" s="121"/>
      <c r="F87" s="122"/>
      <c r="G87" s="123"/>
      <c r="I87" s="123"/>
      <c r="J87" s="123"/>
      <c r="K87" s="123"/>
      <c r="L87" s="123"/>
    </row>
    <row r="88" spans="1:12" x14ac:dyDescent="0.2">
      <c r="A88" s="106">
        <v>900</v>
      </c>
      <c r="B88" s="107" t="s">
        <v>495</v>
      </c>
      <c r="C88" s="106">
        <v>3111</v>
      </c>
      <c r="D88" s="106">
        <v>2122</v>
      </c>
      <c r="E88" s="108">
        <v>3111301000001</v>
      </c>
      <c r="F88" s="109" t="s">
        <v>496</v>
      </c>
      <c r="G88" s="96">
        <v>500</v>
      </c>
      <c r="I88" s="96">
        <v>1000</v>
      </c>
      <c r="J88" s="96">
        <v>1000</v>
      </c>
    </row>
    <row r="89" spans="1:12" ht="13.5" thickBot="1" x14ac:dyDescent="0.25">
      <c r="A89" s="106">
        <v>900</v>
      </c>
      <c r="B89" s="107" t="s">
        <v>497</v>
      </c>
      <c r="C89" s="106">
        <v>3111</v>
      </c>
      <c r="D89" s="106">
        <v>2122</v>
      </c>
      <c r="E89" s="108">
        <v>3111303000000</v>
      </c>
      <c r="F89" s="109" t="s">
        <v>496</v>
      </c>
      <c r="G89" s="96">
        <v>0</v>
      </c>
      <c r="I89" s="96">
        <v>2000</v>
      </c>
      <c r="J89" s="96">
        <v>2000</v>
      </c>
      <c r="K89" s="96"/>
      <c r="L89" s="96"/>
    </row>
    <row r="90" spans="1:12" x14ac:dyDescent="0.2">
      <c r="A90" s="110"/>
      <c r="B90" s="111" t="s">
        <v>17</v>
      </c>
      <c r="C90" s="112">
        <v>3111</v>
      </c>
      <c r="D90" s="113"/>
      <c r="E90" s="114"/>
      <c r="F90" s="115"/>
      <c r="G90" s="116">
        <f>SUM(G88:G89)</f>
        <v>500</v>
      </c>
      <c r="I90" s="116">
        <f t="shared" ref="I90:L90" si="21">SUM(I88:I89)</f>
        <v>3000</v>
      </c>
      <c r="J90" s="116">
        <f t="shared" si="21"/>
        <v>3000</v>
      </c>
      <c r="K90" s="116">
        <f t="shared" si="21"/>
        <v>0</v>
      </c>
      <c r="L90" s="116">
        <f t="shared" si="21"/>
        <v>0</v>
      </c>
    </row>
    <row r="92" spans="1:12" ht="13.5" thickBot="1" x14ac:dyDescent="0.25">
      <c r="A92" s="106">
        <v>900</v>
      </c>
      <c r="B92" s="107" t="s">
        <v>498</v>
      </c>
      <c r="C92" s="106">
        <v>3113</v>
      </c>
      <c r="D92" s="106">
        <v>2122</v>
      </c>
      <c r="E92" s="108">
        <v>3113000000000</v>
      </c>
      <c r="F92" s="109" t="s">
        <v>496</v>
      </c>
      <c r="G92" s="96">
        <v>0</v>
      </c>
      <c r="I92" s="96">
        <v>6000</v>
      </c>
      <c r="J92" s="96">
        <v>6000</v>
      </c>
      <c r="K92" s="96"/>
      <c r="L92" s="96"/>
    </row>
    <row r="93" spans="1:12" x14ac:dyDescent="0.2">
      <c r="A93" s="110"/>
      <c r="B93" s="111" t="s">
        <v>17</v>
      </c>
      <c r="C93" s="112">
        <v>3113</v>
      </c>
      <c r="D93" s="113"/>
      <c r="E93" s="114"/>
      <c r="F93" s="115"/>
      <c r="G93" s="116">
        <f t="shared" ref="G93:L93" si="22">SUM(G92)</f>
        <v>0</v>
      </c>
      <c r="I93" s="116">
        <f t="shared" si="22"/>
        <v>6000</v>
      </c>
      <c r="J93" s="116">
        <f t="shared" si="22"/>
        <v>6000</v>
      </c>
      <c r="K93" s="116">
        <f t="shared" si="22"/>
        <v>0</v>
      </c>
      <c r="L93" s="116">
        <f t="shared" si="22"/>
        <v>0</v>
      </c>
    </row>
    <row r="95" spans="1:12" ht="13.5" thickBot="1" x14ac:dyDescent="0.25">
      <c r="A95" s="106">
        <v>900</v>
      </c>
      <c r="B95" s="107" t="s">
        <v>347</v>
      </c>
      <c r="C95" s="106">
        <v>6310</v>
      </c>
      <c r="D95" s="106">
        <v>2141</v>
      </c>
      <c r="E95" s="108">
        <v>6310000000000</v>
      </c>
      <c r="F95" s="109" t="s">
        <v>348</v>
      </c>
      <c r="G95" s="96">
        <v>0</v>
      </c>
      <c r="I95" s="96">
        <v>0</v>
      </c>
      <c r="J95" s="96">
        <v>9.5248399999999993</v>
      </c>
      <c r="K95" s="96"/>
      <c r="L95" s="96"/>
    </row>
    <row r="96" spans="1:12" x14ac:dyDescent="0.2">
      <c r="A96" s="110"/>
      <c r="B96" s="111" t="s">
        <v>17</v>
      </c>
      <c r="C96" s="112">
        <v>6310</v>
      </c>
      <c r="D96" s="113"/>
      <c r="E96" s="114"/>
      <c r="F96" s="115"/>
      <c r="G96" s="116">
        <f t="shared" ref="G96:L96" si="23">SUM(G95)</f>
        <v>0</v>
      </c>
      <c r="I96" s="116">
        <f t="shared" si="23"/>
        <v>0</v>
      </c>
      <c r="J96" s="116">
        <f t="shared" si="23"/>
        <v>9.5248399999999993</v>
      </c>
      <c r="K96" s="116">
        <f t="shared" si="23"/>
        <v>0</v>
      </c>
      <c r="L96" s="116">
        <f t="shared" si="23"/>
        <v>0</v>
      </c>
    </row>
    <row r="98" spans="1:12" x14ac:dyDescent="0.2">
      <c r="A98" s="124"/>
      <c r="B98" s="125" t="s">
        <v>179</v>
      </c>
      <c r="C98" s="126"/>
      <c r="D98" s="127"/>
      <c r="E98" s="128"/>
      <c r="F98" s="129"/>
      <c r="G98" s="130">
        <f t="shared" ref="G98:L98" si="24">SUM(G96,G93,G90,G86)</f>
        <v>133850</v>
      </c>
      <c r="I98" s="130">
        <f t="shared" si="24"/>
        <v>115025</v>
      </c>
      <c r="J98" s="130">
        <f t="shared" si="24"/>
        <v>117079.45935000002</v>
      </c>
      <c r="K98" s="130">
        <f t="shared" si="24"/>
        <v>0</v>
      </c>
      <c r="L98" s="130">
        <f t="shared" si="24"/>
        <v>0</v>
      </c>
    </row>
    <row r="101" spans="1:12" ht="13.5" thickBot="1" x14ac:dyDescent="0.25">
      <c r="A101" s="106">
        <v>1100</v>
      </c>
      <c r="B101" s="107" t="s">
        <v>349</v>
      </c>
      <c r="C101" s="106">
        <v>0</v>
      </c>
      <c r="D101" s="106">
        <v>1343</v>
      </c>
      <c r="E101" s="108">
        <v>6171110000000</v>
      </c>
      <c r="F101" s="109" t="s">
        <v>350</v>
      </c>
      <c r="G101" s="96">
        <v>150</v>
      </c>
      <c r="I101" s="96"/>
      <c r="J101" s="96"/>
      <c r="K101" s="96"/>
      <c r="L101" s="96"/>
    </row>
    <row r="102" spans="1:12" x14ac:dyDescent="0.2">
      <c r="A102" s="110"/>
      <c r="B102" s="111" t="s">
        <v>17</v>
      </c>
      <c r="C102" s="112">
        <v>0</v>
      </c>
      <c r="D102" s="113"/>
      <c r="E102" s="114"/>
      <c r="F102" s="115"/>
      <c r="G102" s="116">
        <f t="shared" ref="G102:L102" si="25">SUM(G101)</f>
        <v>150</v>
      </c>
      <c r="I102" s="116">
        <f t="shared" si="25"/>
        <v>0</v>
      </c>
      <c r="J102" s="116">
        <f t="shared" si="25"/>
        <v>0</v>
      </c>
      <c r="K102" s="116">
        <f t="shared" si="25"/>
        <v>0</v>
      </c>
      <c r="L102" s="116">
        <f t="shared" si="25"/>
        <v>0</v>
      </c>
    </row>
    <row r="104" spans="1:12" ht="13.5" thickBot="1" x14ac:dyDescent="0.25">
      <c r="A104" s="106">
        <v>1100</v>
      </c>
      <c r="B104" s="107" t="s">
        <v>351</v>
      </c>
      <c r="C104" s="106">
        <v>2292</v>
      </c>
      <c r="D104" s="106">
        <v>2111</v>
      </c>
      <c r="E104" s="108">
        <v>2292000000000</v>
      </c>
      <c r="F104" s="109" t="s">
        <v>352</v>
      </c>
      <c r="G104" s="96">
        <v>7</v>
      </c>
      <c r="I104" s="96">
        <v>7</v>
      </c>
      <c r="J104" s="96">
        <v>0</v>
      </c>
      <c r="K104" s="96"/>
      <c r="L104" s="96"/>
    </row>
    <row r="105" spans="1:12" x14ac:dyDescent="0.2">
      <c r="A105" s="110"/>
      <c r="B105" s="111" t="s">
        <v>17</v>
      </c>
      <c r="C105" s="112">
        <v>2292</v>
      </c>
      <c r="D105" s="113"/>
      <c r="E105" s="114"/>
      <c r="F105" s="115"/>
      <c r="G105" s="116">
        <f t="shared" ref="G105:L105" si="26">SUM(G104)</f>
        <v>7</v>
      </c>
      <c r="I105" s="116">
        <f t="shared" si="26"/>
        <v>7</v>
      </c>
      <c r="J105" s="116">
        <f t="shared" si="26"/>
        <v>0</v>
      </c>
      <c r="K105" s="116">
        <f t="shared" si="26"/>
        <v>0</v>
      </c>
      <c r="L105" s="116">
        <f t="shared" si="26"/>
        <v>0</v>
      </c>
    </row>
    <row r="107" spans="1:12" x14ac:dyDescent="0.2">
      <c r="A107" s="106">
        <v>1100</v>
      </c>
      <c r="B107" s="107" t="s">
        <v>353</v>
      </c>
      <c r="C107" s="106">
        <v>2310</v>
      </c>
      <c r="D107" s="106">
        <v>2111</v>
      </c>
      <c r="E107" s="108">
        <v>2310000000000</v>
      </c>
      <c r="F107" s="109" t="s">
        <v>354</v>
      </c>
      <c r="G107" s="96">
        <v>25000</v>
      </c>
      <c r="I107" s="96">
        <v>23000</v>
      </c>
      <c r="J107" s="96">
        <v>18527.397000000001</v>
      </c>
      <c r="K107" s="96"/>
      <c r="L107" s="96"/>
    </row>
    <row r="108" spans="1:12" ht="13.5" thickBot="1" x14ac:dyDescent="0.25">
      <c r="A108" s="106">
        <v>1100</v>
      </c>
      <c r="B108" s="107" t="s">
        <v>353</v>
      </c>
      <c r="C108" s="106">
        <v>2310</v>
      </c>
      <c r="D108" s="106">
        <v>2324</v>
      </c>
      <c r="E108" s="108">
        <v>2310000000000</v>
      </c>
      <c r="F108" s="109" t="s">
        <v>355</v>
      </c>
      <c r="G108" s="96">
        <v>130</v>
      </c>
      <c r="I108" s="96">
        <v>130</v>
      </c>
      <c r="J108" s="96">
        <v>37.265000000000001</v>
      </c>
      <c r="K108" s="96"/>
      <c r="L108" s="96"/>
    </row>
    <row r="109" spans="1:12" x14ac:dyDescent="0.2">
      <c r="A109" s="110"/>
      <c r="B109" s="111" t="s">
        <v>17</v>
      </c>
      <c r="C109" s="112">
        <v>2310</v>
      </c>
      <c r="D109" s="113"/>
      <c r="E109" s="114"/>
      <c r="F109" s="115"/>
      <c r="G109" s="116">
        <f t="shared" ref="G109:L109" si="27">SUM(G107:G108)</f>
        <v>25130</v>
      </c>
      <c r="I109" s="116">
        <f t="shared" si="27"/>
        <v>23130</v>
      </c>
      <c r="J109" s="116">
        <f t="shared" si="27"/>
        <v>18564.662</v>
      </c>
      <c r="K109" s="116">
        <f t="shared" si="27"/>
        <v>0</v>
      </c>
      <c r="L109" s="116">
        <f t="shared" si="27"/>
        <v>0</v>
      </c>
    </row>
    <row r="111" spans="1:12" x14ac:dyDescent="0.2">
      <c r="A111" s="106">
        <v>1100</v>
      </c>
      <c r="B111" s="107" t="s">
        <v>356</v>
      </c>
      <c r="C111" s="106">
        <v>2321</v>
      </c>
      <c r="D111" s="106">
        <v>2111</v>
      </c>
      <c r="E111" s="108">
        <v>2321000000000</v>
      </c>
      <c r="F111" s="109" t="s">
        <v>357</v>
      </c>
      <c r="G111" s="96">
        <v>1200</v>
      </c>
      <c r="I111" s="96">
        <v>1000</v>
      </c>
      <c r="J111" s="96">
        <v>1326.2984300000001</v>
      </c>
      <c r="K111" s="96"/>
      <c r="L111" s="96"/>
    </row>
    <row r="112" spans="1:12" x14ac:dyDescent="0.2">
      <c r="A112" s="106">
        <v>1100</v>
      </c>
      <c r="B112" s="107" t="s">
        <v>356</v>
      </c>
      <c r="C112" s="106">
        <v>2321</v>
      </c>
      <c r="D112" s="106">
        <v>2321</v>
      </c>
      <c r="E112" s="108">
        <v>2321000000000</v>
      </c>
      <c r="F112" s="109" t="s">
        <v>499</v>
      </c>
      <c r="G112" s="96">
        <v>10</v>
      </c>
      <c r="I112" s="96"/>
      <c r="J112" s="96"/>
      <c r="K112" s="96"/>
      <c r="L112" s="96"/>
    </row>
    <row r="113" spans="1:12" ht="13.5" thickBot="1" x14ac:dyDescent="0.25">
      <c r="A113" s="106">
        <v>1100</v>
      </c>
      <c r="B113" s="107" t="s">
        <v>356</v>
      </c>
      <c r="C113" s="106">
        <v>2321</v>
      </c>
      <c r="D113" s="106">
        <v>3122</v>
      </c>
      <c r="E113" s="108">
        <v>2321000000000</v>
      </c>
      <c r="F113" s="109" t="s">
        <v>358</v>
      </c>
      <c r="G113" s="96">
        <v>1500</v>
      </c>
      <c r="I113" s="96">
        <v>1500</v>
      </c>
      <c r="J113" s="96">
        <v>2160</v>
      </c>
      <c r="K113" s="96"/>
      <c r="L113" s="96"/>
    </row>
    <row r="114" spans="1:12" x14ac:dyDescent="0.2">
      <c r="A114" s="110"/>
      <c r="B114" s="111" t="s">
        <v>17</v>
      </c>
      <c r="C114" s="112">
        <v>2321</v>
      </c>
      <c r="D114" s="113"/>
      <c r="E114" s="114"/>
      <c r="F114" s="115"/>
      <c r="G114" s="116">
        <f t="shared" ref="G114:L114" si="28">SUM(G111:G113)</f>
        <v>2710</v>
      </c>
      <c r="I114" s="116">
        <f t="shared" si="28"/>
        <v>2500</v>
      </c>
      <c r="J114" s="116">
        <f t="shared" si="28"/>
        <v>3486.2984299999998</v>
      </c>
      <c r="K114" s="116">
        <f t="shared" si="28"/>
        <v>0</v>
      </c>
      <c r="L114" s="116">
        <f t="shared" si="28"/>
        <v>0</v>
      </c>
    </row>
    <row r="116" spans="1:12" x14ac:dyDescent="0.2">
      <c r="A116" s="106">
        <v>1100</v>
      </c>
      <c r="B116" s="107" t="s">
        <v>359</v>
      </c>
      <c r="C116" s="106">
        <v>3113</v>
      </c>
      <c r="D116" s="106">
        <v>2132</v>
      </c>
      <c r="E116" s="108">
        <v>919</v>
      </c>
      <c r="F116" s="109" t="s">
        <v>360</v>
      </c>
      <c r="G116" s="96">
        <v>700</v>
      </c>
      <c r="I116" s="96">
        <v>1000</v>
      </c>
      <c r="J116" s="96">
        <v>372.34100000000001</v>
      </c>
      <c r="K116" s="96"/>
      <c r="L116" s="96"/>
    </row>
    <row r="117" spans="1:12" ht="13.5" thickBot="1" x14ac:dyDescent="0.25">
      <c r="A117" s="106">
        <v>1100</v>
      </c>
      <c r="B117" s="107" t="s">
        <v>212</v>
      </c>
      <c r="C117" s="106">
        <v>3113</v>
      </c>
      <c r="D117" s="106">
        <v>2132</v>
      </c>
      <c r="E117" s="108">
        <v>959</v>
      </c>
      <c r="F117" s="109" t="s">
        <v>500</v>
      </c>
      <c r="G117" s="96">
        <v>150</v>
      </c>
      <c r="I117" s="96">
        <v>150</v>
      </c>
      <c r="J117" s="96">
        <v>90</v>
      </c>
      <c r="K117" s="96"/>
      <c r="L117" s="96"/>
    </row>
    <row r="118" spans="1:12" x14ac:dyDescent="0.2">
      <c r="A118" s="110"/>
      <c r="B118" s="111" t="s">
        <v>17</v>
      </c>
      <c r="C118" s="112">
        <v>3113</v>
      </c>
      <c r="D118" s="113"/>
      <c r="E118" s="114"/>
      <c r="F118" s="115"/>
      <c r="G118" s="116">
        <f t="shared" ref="G118:L118" si="29">SUM(G116:G117)</f>
        <v>850</v>
      </c>
      <c r="I118" s="116">
        <f t="shared" si="29"/>
        <v>1150</v>
      </c>
      <c r="J118" s="116">
        <f t="shared" si="29"/>
        <v>462.34100000000001</v>
      </c>
      <c r="K118" s="116">
        <f t="shared" si="29"/>
        <v>0</v>
      </c>
      <c r="L118" s="116">
        <f t="shared" si="29"/>
        <v>0</v>
      </c>
    </row>
    <row r="120" spans="1:12" ht="13.5" thickBot="1" x14ac:dyDescent="0.25">
      <c r="A120" s="106">
        <v>1100</v>
      </c>
      <c r="B120" s="107" t="s">
        <v>361</v>
      </c>
      <c r="C120" s="106">
        <v>3392</v>
      </c>
      <c r="D120" s="106">
        <v>2132</v>
      </c>
      <c r="E120" s="108">
        <v>889</v>
      </c>
      <c r="F120" s="109" t="s">
        <v>362</v>
      </c>
      <c r="G120" s="96">
        <v>150</v>
      </c>
      <c r="I120" s="96">
        <v>200</v>
      </c>
      <c r="J120" s="96">
        <v>100.8</v>
      </c>
      <c r="K120" s="96"/>
      <c r="L120" s="96"/>
    </row>
    <row r="121" spans="1:12" x14ac:dyDescent="0.2">
      <c r="A121" s="110"/>
      <c r="B121" s="111" t="s">
        <v>17</v>
      </c>
      <c r="C121" s="112">
        <v>3392</v>
      </c>
      <c r="D121" s="113"/>
      <c r="E121" s="114"/>
      <c r="F121" s="115"/>
      <c r="G121" s="116">
        <f t="shared" ref="G121:L121" si="30">SUM(G120)</f>
        <v>150</v>
      </c>
      <c r="I121" s="116">
        <f t="shared" si="30"/>
        <v>200</v>
      </c>
      <c r="J121" s="116">
        <f t="shared" si="30"/>
        <v>100.8</v>
      </c>
      <c r="K121" s="116">
        <f t="shared" si="30"/>
        <v>0</v>
      </c>
      <c r="L121" s="116">
        <f t="shared" si="30"/>
        <v>0</v>
      </c>
    </row>
    <row r="123" spans="1:12" x14ac:dyDescent="0.2">
      <c r="A123" s="106">
        <v>1100</v>
      </c>
      <c r="B123" s="107" t="s">
        <v>363</v>
      </c>
      <c r="C123" s="106">
        <v>3612</v>
      </c>
      <c r="D123" s="106">
        <v>2111</v>
      </c>
      <c r="E123" s="108">
        <v>3612000000000</v>
      </c>
      <c r="F123" s="109" t="s">
        <v>367</v>
      </c>
      <c r="G123" s="96">
        <v>75</v>
      </c>
      <c r="I123" s="96">
        <v>75</v>
      </c>
      <c r="J123" s="96">
        <v>144.38999999999999</v>
      </c>
      <c r="K123" s="96"/>
      <c r="L123" s="96"/>
    </row>
    <row r="124" spans="1:12" x14ac:dyDescent="0.2">
      <c r="A124" s="106">
        <v>1100</v>
      </c>
      <c r="B124" s="107" t="s">
        <v>363</v>
      </c>
      <c r="C124" s="106">
        <v>3612</v>
      </c>
      <c r="D124" s="106">
        <v>2132</v>
      </c>
      <c r="E124" s="108">
        <v>3612000000000</v>
      </c>
      <c r="F124" s="109" t="s">
        <v>364</v>
      </c>
      <c r="G124" s="96">
        <f>795-12*(13+2.16)</f>
        <v>613.07999999999993</v>
      </c>
      <c r="I124" s="96">
        <v>795</v>
      </c>
      <c r="J124" s="96">
        <v>536.79200000000003</v>
      </c>
      <c r="K124" s="96"/>
      <c r="L124" s="96"/>
    </row>
    <row r="125" spans="1:12" ht="13.5" thickBot="1" x14ac:dyDescent="0.25">
      <c r="A125" s="106">
        <v>1100</v>
      </c>
      <c r="B125" s="107" t="s">
        <v>363</v>
      </c>
      <c r="C125" s="106">
        <v>3612</v>
      </c>
      <c r="D125" s="106">
        <v>2324</v>
      </c>
      <c r="E125" s="108">
        <v>3612000000000</v>
      </c>
      <c r="F125" s="109" t="s">
        <v>365</v>
      </c>
      <c r="G125" s="96">
        <v>5</v>
      </c>
      <c r="I125" s="96">
        <v>5</v>
      </c>
      <c r="J125" s="96">
        <v>8.8140000000000001</v>
      </c>
      <c r="K125" s="96"/>
      <c r="L125" s="96"/>
    </row>
    <row r="126" spans="1:12" ht="12" customHeight="1" x14ac:dyDescent="0.2">
      <c r="A126" s="110"/>
      <c r="B126" s="111" t="s">
        <v>17</v>
      </c>
      <c r="C126" s="112">
        <v>3612</v>
      </c>
      <c r="D126" s="113"/>
      <c r="E126" s="114"/>
      <c r="F126" s="115"/>
      <c r="G126" s="116">
        <f t="shared" ref="G126:L126" si="31">SUM(G123:G125)</f>
        <v>693.07999999999993</v>
      </c>
      <c r="I126" s="116">
        <f t="shared" si="31"/>
        <v>875</v>
      </c>
      <c r="J126" s="116">
        <f t="shared" si="31"/>
        <v>689.99599999999998</v>
      </c>
      <c r="K126" s="116">
        <f t="shared" si="31"/>
        <v>0</v>
      </c>
      <c r="L126" s="116">
        <f t="shared" si="31"/>
        <v>0</v>
      </c>
    </row>
    <row r="128" spans="1:12" x14ac:dyDescent="0.2">
      <c r="A128" s="106">
        <v>1100</v>
      </c>
      <c r="B128" s="107" t="s">
        <v>366</v>
      </c>
      <c r="C128" s="106">
        <v>3613</v>
      </c>
      <c r="D128" s="106">
        <v>2111</v>
      </c>
      <c r="E128" s="108">
        <v>3613000000000</v>
      </c>
      <c r="F128" s="109" t="s">
        <v>367</v>
      </c>
      <c r="G128" s="96">
        <v>10</v>
      </c>
      <c r="I128" s="96">
        <v>10</v>
      </c>
      <c r="J128" s="96">
        <v>84.776489999999995</v>
      </c>
      <c r="K128" s="96"/>
      <c r="L128" s="96"/>
    </row>
    <row r="129" spans="1:12" x14ac:dyDescent="0.2">
      <c r="A129" s="106">
        <v>1100</v>
      </c>
      <c r="B129" s="107" t="s">
        <v>366</v>
      </c>
      <c r="C129" s="106">
        <v>3613</v>
      </c>
      <c r="D129" s="106">
        <v>2131</v>
      </c>
      <c r="E129" s="108">
        <v>3613000000000</v>
      </c>
      <c r="F129" s="109" t="s">
        <v>368</v>
      </c>
      <c r="G129" s="96">
        <v>129.5</v>
      </c>
      <c r="I129" s="96">
        <v>129.5</v>
      </c>
      <c r="J129" s="96">
        <v>514.98134000000005</v>
      </c>
      <c r="K129" s="96"/>
      <c r="L129" s="96"/>
    </row>
    <row r="130" spans="1:12" ht="13.5" thickBot="1" x14ac:dyDescent="0.25">
      <c r="A130" s="106">
        <v>1100</v>
      </c>
      <c r="B130" s="107" t="s">
        <v>366</v>
      </c>
      <c r="C130" s="106">
        <v>3613</v>
      </c>
      <c r="D130" s="106">
        <v>2132</v>
      </c>
      <c r="E130" s="108">
        <v>3613000000000</v>
      </c>
      <c r="F130" s="109" t="s">
        <v>364</v>
      </c>
      <c r="G130" s="96">
        <v>1100</v>
      </c>
      <c r="I130" s="96">
        <v>1100</v>
      </c>
      <c r="J130" s="96">
        <v>821.05583000000001</v>
      </c>
      <c r="K130" s="96"/>
      <c r="L130" s="96"/>
    </row>
    <row r="131" spans="1:12" ht="12.75" customHeight="1" x14ac:dyDescent="0.2">
      <c r="A131" s="110"/>
      <c r="B131" s="111" t="s">
        <v>17</v>
      </c>
      <c r="C131" s="112">
        <v>3613</v>
      </c>
      <c r="D131" s="113"/>
      <c r="E131" s="114"/>
      <c r="F131" s="115"/>
      <c r="G131" s="116">
        <f t="shared" ref="G131:L131" si="32">SUM(G128:G130)</f>
        <v>1239.5</v>
      </c>
      <c r="I131" s="116">
        <f t="shared" si="32"/>
        <v>1239.5</v>
      </c>
      <c r="J131" s="116">
        <f t="shared" si="32"/>
        <v>1420.81366</v>
      </c>
      <c r="K131" s="116">
        <f t="shared" si="32"/>
        <v>0</v>
      </c>
      <c r="L131" s="116">
        <f t="shared" si="32"/>
        <v>0</v>
      </c>
    </row>
    <row r="132" spans="1:12" ht="12.75" customHeight="1" x14ac:dyDescent="0.2"/>
    <row r="133" spans="1:12" ht="12.75" customHeight="1" x14ac:dyDescent="0.2">
      <c r="A133" s="106">
        <v>1100</v>
      </c>
      <c r="B133" s="107" t="s">
        <v>369</v>
      </c>
      <c r="C133" s="106">
        <v>3636</v>
      </c>
      <c r="D133" s="106">
        <v>2119</v>
      </c>
      <c r="E133" s="108">
        <v>3636000000000</v>
      </c>
      <c r="F133" s="109" t="s">
        <v>418</v>
      </c>
      <c r="G133" s="96">
        <v>250</v>
      </c>
      <c r="I133" s="96">
        <v>400</v>
      </c>
      <c r="J133" s="96">
        <v>729.51142000000004</v>
      </c>
      <c r="K133" s="96"/>
      <c r="L133" s="96"/>
    </row>
    <row r="134" spans="1:12" ht="12.75" customHeight="1" thickBot="1" x14ac:dyDescent="0.25">
      <c r="A134" s="106">
        <v>1100</v>
      </c>
      <c r="B134" s="107" t="s">
        <v>369</v>
      </c>
      <c r="C134" s="106">
        <v>3636</v>
      </c>
      <c r="D134" s="106">
        <v>3111</v>
      </c>
      <c r="E134" s="108">
        <v>3636000000000</v>
      </c>
      <c r="F134" s="109" t="s">
        <v>419</v>
      </c>
      <c r="G134" s="96">
        <v>520</v>
      </c>
      <c r="I134" s="96">
        <v>520</v>
      </c>
      <c r="J134" s="96">
        <v>0</v>
      </c>
      <c r="K134" s="96"/>
      <c r="L134" s="96"/>
    </row>
    <row r="135" spans="1:12" ht="12.75" customHeight="1" x14ac:dyDescent="0.2">
      <c r="A135" s="110"/>
      <c r="B135" s="111" t="s">
        <v>17</v>
      </c>
      <c r="C135" s="112">
        <v>3636</v>
      </c>
      <c r="D135" s="113"/>
      <c r="E135" s="114"/>
      <c r="F135" s="115"/>
      <c r="G135" s="116">
        <f t="shared" ref="G135:L135" si="33">SUM(G133:G134)</f>
        <v>770</v>
      </c>
      <c r="I135" s="116">
        <f t="shared" si="33"/>
        <v>920</v>
      </c>
      <c r="J135" s="116">
        <f t="shared" si="33"/>
        <v>729.51142000000004</v>
      </c>
      <c r="K135" s="116">
        <f t="shared" si="33"/>
        <v>0</v>
      </c>
      <c r="L135" s="116">
        <f t="shared" si="33"/>
        <v>0</v>
      </c>
    </row>
    <row r="136" spans="1:12" ht="12.75" customHeight="1" x14ac:dyDescent="0.2"/>
    <row r="137" spans="1:12" ht="12.75" customHeight="1" x14ac:dyDescent="0.2">
      <c r="A137" s="124"/>
      <c r="B137" s="125" t="s">
        <v>240</v>
      </c>
      <c r="C137" s="126"/>
      <c r="D137" s="127"/>
      <c r="E137" s="128"/>
      <c r="F137" s="129"/>
      <c r="G137" s="130">
        <f t="shared" ref="G137:L137" si="34">SUM(G135,G131,G126,G121,G118,G114,G109,G105,G102)</f>
        <v>31699.58</v>
      </c>
      <c r="I137" s="130">
        <f t="shared" si="34"/>
        <v>30021.5</v>
      </c>
      <c r="J137" s="130">
        <f t="shared" si="34"/>
        <v>25454.42251</v>
      </c>
      <c r="K137" s="130">
        <f t="shared" si="34"/>
        <v>0</v>
      </c>
      <c r="L137" s="130">
        <f t="shared" si="34"/>
        <v>0</v>
      </c>
    </row>
    <row r="138" spans="1:12" ht="12.75" customHeight="1" x14ac:dyDescent="0.2"/>
    <row r="139" spans="1:12" ht="12.75" customHeight="1" x14ac:dyDescent="0.2"/>
    <row r="140" spans="1:12" ht="12.75" customHeight="1" thickBot="1" x14ac:dyDescent="0.25">
      <c r="A140" s="106">
        <v>1200</v>
      </c>
      <c r="B140" s="107" t="s">
        <v>370</v>
      </c>
      <c r="C140" s="106">
        <v>3632</v>
      </c>
      <c r="D140" s="106">
        <v>2111</v>
      </c>
      <c r="E140" s="108">
        <v>3632000000000</v>
      </c>
      <c r="F140" s="109" t="s">
        <v>420</v>
      </c>
      <c r="G140" s="96">
        <v>50</v>
      </c>
      <c r="I140" s="96">
        <v>50</v>
      </c>
      <c r="J140" s="96">
        <v>36.46</v>
      </c>
      <c r="K140" s="96"/>
      <c r="L140" s="96"/>
    </row>
    <row r="141" spans="1:12" ht="12.75" customHeight="1" x14ac:dyDescent="0.2">
      <c r="A141" s="110"/>
      <c r="B141" s="111" t="s">
        <v>17</v>
      </c>
      <c r="C141" s="112">
        <v>3632</v>
      </c>
      <c r="D141" s="113"/>
      <c r="E141" s="114"/>
      <c r="F141" s="115"/>
      <c r="G141" s="116">
        <f t="shared" ref="G141:L141" si="35">SUM(G140)</f>
        <v>50</v>
      </c>
      <c r="I141" s="116">
        <f t="shared" si="35"/>
        <v>50</v>
      </c>
      <c r="J141" s="116">
        <f t="shared" si="35"/>
        <v>36.46</v>
      </c>
      <c r="K141" s="116">
        <f t="shared" si="35"/>
        <v>0</v>
      </c>
      <c r="L141" s="116">
        <f t="shared" si="35"/>
        <v>0</v>
      </c>
    </row>
    <row r="142" spans="1:12" ht="12.75" customHeight="1" x14ac:dyDescent="0.2"/>
    <row r="143" spans="1:12" ht="12.75" customHeight="1" thickBot="1" x14ac:dyDescent="0.25">
      <c r="A143" s="106">
        <v>1200</v>
      </c>
      <c r="B143" s="107" t="s">
        <v>371</v>
      </c>
      <c r="C143" s="106">
        <v>3639</v>
      </c>
      <c r="D143" s="106">
        <v>2111</v>
      </c>
      <c r="E143" s="108">
        <v>3639000000000</v>
      </c>
      <c r="F143" s="109" t="s">
        <v>367</v>
      </c>
      <c r="G143" s="96">
        <v>25</v>
      </c>
      <c r="I143" s="96">
        <v>25</v>
      </c>
      <c r="J143" s="96">
        <v>32.840000000000003</v>
      </c>
      <c r="K143" s="96"/>
      <c r="L143" s="96"/>
    </row>
    <row r="144" spans="1:12" ht="12.75" customHeight="1" x14ac:dyDescent="0.2">
      <c r="A144" s="110"/>
      <c r="B144" s="111" t="s">
        <v>17</v>
      </c>
      <c r="C144" s="112">
        <v>3639</v>
      </c>
      <c r="D144" s="113"/>
      <c r="E144" s="114"/>
      <c r="F144" s="115"/>
      <c r="G144" s="116">
        <f t="shared" ref="G144:L144" si="36">SUM(G143)</f>
        <v>25</v>
      </c>
      <c r="I144" s="116">
        <f t="shared" si="36"/>
        <v>25</v>
      </c>
      <c r="J144" s="116">
        <f t="shared" si="36"/>
        <v>32.840000000000003</v>
      </c>
      <c r="K144" s="116">
        <f t="shared" si="36"/>
        <v>0</v>
      </c>
      <c r="L144" s="116">
        <f t="shared" si="36"/>
        <v>0</v>
      </c>
    </row>
    <row r="145" spans="1:12" ht="12.75" customHeight="1" x14ac:dyDescent="0.2"/>
    <row r="146" spans="1:12" ht="12.75" customHeight="1" thickBot="1" x14ac:dyDescent="0.25">
      <c r="A146" s="106">
        <v>1200</v>
      </c>
      <c r="B146" s="107" t="s">
        <v>372</v>
      </c>
      <c r="C146" s="106">
        <v>3723</v>
      </c>
      <c r="D146" s="106">
        <v>2111</v>
      </c>
      <c r="E146" s="108">
        <v>3723000000000</v>
      </c>
      <c r="F146" s="109" t="s">
        <v>421</v>
      </c>
      <c r="G146" s="96">
        <v>80</v>
      </c>
      <c r="I146" s="96">
        <v>80</v>
      </c>
      <c r="J146" s="96">
        <v>342.68511000000001</v>
      </c>
      <c r="K146" s="96"/>
      <c r="L146" s="96"/>
    </row>
    <row r="147" spans="1:12" ht="12.75" customHeight="1" x14ac:dyDescent="0.2">
      <c r="A147" s="110"/>
      <c r="B147" s="111" t="s">
        <v>17</v>
      </c>
      <c r="C147" s="112">
        <v>3723</v>
      </c>
      <c r="D147" s="113"/>
      <c r="E147" s="114"/>
      <c r="F147" s="115"/>
      <c r="G147" s="116">
        <f t="shared" ref="G147:L147" si="37">SUM(G146)</f>
        <v>80</v>
      </c>
      <c r="I147" s="116">
        <f t="shared" si="37"/>
        <v>80</v>
      </c>
      <c r="J147" s="116">
        <f t="shared" si="37"/>
        <v>342.68511000000001</v>
      </c>
      <c r="K147" s="116">
        <f t="shared" si="37"/>
        <v>0</v>
      </c>
      <c r="L147" s="116">
        <f t="shared" si="37"/>
        <v>0</v>
      </c>
    </row>
    <row r="148" spans="1:12" ht="12.75" customHeight="1" x14ac:dyDescent="0.2"/>
    <row r="149" spans="1:12" ht="12.75" customHeight="1" x14ac:dyDescent="0.2">
      <c r="A149" s="106">
        <v>1200</v>
      </c>
      <c r="B149" s="107" t="s">
        <v>373</v>
      </c>
      <c r="C149" s="106">
        <v>3725</v>
      </c>
      <c r="D149" s="106">
        <v>2111</v>
      </c>
      <c r="E149" s="108">
        <v>3725000000000</v>
      </c>
      <c r="F149" s="109" t="s">
        <v>374</v>
      </c>
      <c r="G149" s="96">
        <v>250</v>
      </c>
      <c r="I149" s="96">
        <v>130</v>
      </c>
      <c r="J149" s="96">
        <v>129.29</v>
      </c>
      <c r="K149" s="96"/>
      <c r="L149" s="96"/>
    </row>
    <row r="150" spans="1:12" ht="12.75" customHeight="1" thickBot="1" x14ac:dyDescent="0.25">
      <c r="A150" s="106">
        <v>1200</v>
      </c>
      <c r="B150" s="107" t="s">
        <v>373</v>
      </c>
      <c r="C150" s="106">
        <v>3725</v>
      </c>
      <c r="D150" s="106">
        <v>2324</v>
      </c>
      <c r="E150" s="108">
        <v>3725000000000</v>
      </c>
      <c r="F150" s="109" t="s">
        <v>422</v>
      </c>
      <c r="G150" s="96">
        <v>1500</v>
      </c>
      <c r="I150" s="96">
        <v>750</v>
      </c>
      <c r="J150" s="96">
        <v>1402.9849999999999</v>
      </c>
      <c r="K150" s="96"/>
      <c r="L150" s="96"/>
    </row>
    <row r="151" spans="1:12" ht="12.75" customHeight="1" x14ac:dyDescent="0.2">
      <c r="A151" s="110"/>
      <c r="B151" s="111" t="s">
        <v>17</v>
      </c>
      <c r="C151" s="112">
        <v>3725</v>
      </c>
      <c r="D151" s="113"/>
      <c r="E151" s="114"/>
      <c r="F151" s="115"/>
      <c r="G151" s="116">
        <f t="shared" ref="G151:L151" si="38">SUM(G149:G150)</f>
        <v>1750</v>
      </c>
      <c r="I151" s="116">
        <f t="shared" si="38"/>
        <v>880</v>
      </c>
      <c r="J151" s="116">
        <f t="shared" si="38"/>
        <v>1532.2749999999999</v>
      </c>
      <c r="K151" s="116">
        <f t="shared" si="38"/>
        <v>0</v>
      </c>
      <c r="L151" s="116">
        <f t="shared" si="38"/>
        <v>0</v>
      </c>
    </row>
    <row r="152" spans="1:12" ht="12.75" customHeight="1" x14ac:dyDescent="0.2"/>
    <row r="153" spans="1:12" ht="12.75" customHeight="1" x14ac:dyDescent="0.2">
      <c r="A153" s="124"/>
      <c r="B153" s="125" t="s">
        <v>266</v>
      </c>
      <c r="C153" s="126"/>
      <c r="D153" s="127"/>
      <c r="E153" s="128"/>
      <c r="F153" s="129"/>
      <c r="G153" s="130">
        <f t="shared" ref="G153:L153" si="39">SUM(G151,G147,G144,G141)</f>
        <v>1905</v>
      </c>
      <c r="I153" s="130">
        <f t="shared" si="39"/>
        <v>1035</v>
      </c>
      <c r="J153" s="130">
        <f t="shared" si="39"/>
        <v>1944.2601099999999</v>
      </c>
      <c r="K153" s="130">
        <f t="shared" si="39"/>
        <v>0</v>
      </c>
      <c r="L153" s="130">
        <f t="shared" si="39"/>
        <v>0</v>
      </c>
    </row>
    <row r="154" spans="1:12" ht="12.75" customHeight="1" x14ac:dyDescent="0.2"/>
    <row r="155" spans="1:12" ht="12.75" customHeight="1" x14ac:dyDescent="0.2"/>
    <row r="156" spans="1:12" ht="12.75" customHeight="1" thickBot="1" x14ac:dyDescent="0.25">
      <c r="A156" s="106">
        <v>1300</v>
      </c>
      <c r="B156" s="107" t="s">
        <v>662</v>
      </c>
      <c r="C156" s="106">
        <v>5512</v>
      </c>
      <c r="D156" s="106">
        <v>3113</v>
      </c>
      <c r="E156" s="108">
        <v>3725000000000</v>
      </c>
      <c r="F156" s="109" t="s">
        <v>422</v>
      </c>
      <c r="G156" s="96">
        <v>768</v>
      </c>
      <c r="I156" s="96">
        <v>0</v>
      </c>
      <c r="J156" s="96">
        <v>0</v>
      </c>
      <c r="K156" s="96"/>
      <c r="L156" s="96"/>
    </row>
    <row r="157" spans="1:12" ht="12.75" customHeight="1" x14ac:dyDescent="0.2">
      <c r="A157" s="110"/>
      <c r="B157" s="111" t="s">
        <v>17</v>
      </c>
      <c r="C157" s="112">
        <v>3725</v>
      </c>
      <c r="D157" s="113"/>
      <c r="E157" s="114"/>
      <c r="F157" s="115"/>
      <c r="G157" s="116">
        <f>SUM(G156)</f>
        <v>768</v>
      </c>
      <c r="I157" s="116">
        <f>SUM(I156)</f>
        <v>0</v>
      </c>
      <c r="J157" s="116">
        <f t="shared" ref="J157:K157" si="40">SUM(J156)</f>
        <v>0</v>
      </c>
      <c r="K157" s="116">
        <f t="shared" si="40"/>
        <v>0</v>
      </c>
      <c r="L157" s="116">
        <f>SUM(L156)</f>
        <v>0</v>
      </c>
    </row>
    <row r="158" spans="1:12" ht="12.75" customHeight="1" x14ac:dyDescent="0.2"/>
    <row r="159" spans="1:12" ht="12.75" customHeight="1" x14ac:dyDescent="0.2">
      <c r="A159" s="124"/>
      <c r="B159" s="125" t="s">
        <v>276</v>
      </c>
      <c r="C159" s="126"/>
      <c r="D159" s="127"/>
      <c r="E159" s="128"/>
      <c r="F159" s="129"/>
      <c r="G159" s="130">
        <f>SUM(G157)</f>
        <v>768</v>
      </c>
      <c r="I159" s="130">
        <f t="shared" ref="I159:L159" si="41">SUM(I157)</f>
        <v>0</v>
      </c>
      <c r="J159" s="130">
        <f t="shared" si="41"/>
        <v>0</v>
      </c>
      <c r="K159" s="130">
        <f t="shared" si="41"/>
        <v>0</v>
      </c>
      <c r="L159" s="130">
        <f t="shared" si="41"/>
        <v>0</v>
      </c>
    </row>
    <row r="160" spans="1:12" ht="12.75" customHeight="1" x14ac:dyDescent="0.2">
      <c r="A160" s="124"/>
      <c r="B160" s="125"/>
      <c r="C160" s="126"/>
      <c r="D160" s="127"/>
      <c r="E160" s="128"/>
      <c r="F160" s="129"/>
      <c r="G160" s="130"/>
      <c r="I160" s="130"/>
      <c r="J160" s="130"/>
      <c r="K160" s="130"/>
      <c r="L160" s="130"/>
    </row>
    <row r="161" spans="1:12" ht="12.75" customHeight="1" x14ac:dyDescent="0.2">
      <c r="A161" s="124"/>
      <c r="B161" s="125"/>
      <c r="C161" s="126"/>
      <c r="D161" s="127"/>
      <c r="E161" s="128"/>
      <c r="F161" s="129"/>
      <c r="G161" s="130"/>
      <c r="I161" s="130"/>
      <c r="J161" s="130"/>
      <c r="K161" s="130"/>
      <c r="L161" s="130"/>
    </row>
    <row r="162" spans="1:12" ht="12.75" customHeight="1" x14ac:dyDescent="0.2">
      <c r="A162" s="106">
        <v>1400</v>
      </c>
      <c r="B162" s="107" t="s">
        <v>375</v>
      </c>
      <c r="C162" s="106">
        <v>4350</v>
      </c>
      <c r="D162" s="106">
        <v>2111</v>
      </c>
      <c r="E162" s="108">
        <v>4350000000000</v>
      </c>
      <c r="F162" s="109" t="s">
        <v>423</v>
      </c>
      <c r="G162" s="96">
        <v>900</v>
      </c>
      <c r="I162" s="96">
        <v>900</v>
      </c>
      <c r="J162" s="96">
        <v>647.65499999999997</v>
      </c>
      <c r="K162" s="96"/>
      <c r="L162" s="96"/>
    </row>
    <row r="163" spans="1:12" ht="12.75" customHeight="1" x14ac:dyDescent="0.2">
      <c r="A163" s="106">
        <v>1400</v>
      </c>
      <c r="B163" s="107" t="s">
        <v>375</v>
      </c>
      <c r="C163" s="106">
        <v>4350</v>
      </c>
      <c r="D163" s="106">
        <v>2132</v>
      </c>
      <c r="E163" s="108">
        <v>4350000000000</v>
      </c>
      <c r="F163" s="109" t="s">
        <v>376</v>
      </c>
      <c r="G163" s="96">
        <v>1200</v>
      </c>
      <c r="I163" s="96">
        <v>1100</v>
      </c>
      <c r="J163" s="96">
        <v>912.07799999999997</v>
      </c>
      <c r="K163" s="96"/>
      <c r="L163" s="96"/>
    </row>
    <row r="164" spans="1:12" ht="12.75" customHeight="1" thickBot="1" x14ac:dyDescent="0.25">
      <c r="A164" s="106">
        <v>1400</v>
      </c>
      <c r="B164" s="107" t="s">
        <v>375</v>
      </c>
      <c r="C164" s="106">
        <v>4350</v>
      </c>
      <c r="D164" s="106">
        <v>2324</v>
      </c>
      <c r="E164" s="108">
        <v>4350000000000</v>
      </c>
      <c r="F164" s="109" t="s">
        <v>501</v>
      </c>
      <c r="G164" s="96">
        <v>0</v>
      </c>
      <c r="I164" s="96">
        <v>0</v>
      </c>
      <c r="J164" s="96">
        <v>22.810919999999999</v>
      </c>
      <c r="K164" s="96"/>
      <c r="L164" s="96"/>
    </row>
    <row r="165" spans="1:12" ht="12.75" customHeight="1" x14ac:dyDescent="0.2">
      <c r="A165" s="110"/>
      <c r="B165" s="111" t="s">
        <v>17</v>
      </c>
      <c r="C165" s="112">
        <v>4350</v>
      </c>
      <c r="D165" s="113"/>
      <c r="E165" s="114"/>
      <c r="F165" s="115"/>
      <c r="G165" s="116">
        <f t="shared" ref="G165:L165" si="42">SUM(G162:G164)</f>
        <v>2100</v>
      </c>
      <c r="I165" s="116">
        <f t="shared" si="42"/>
        <v>2000</v>
      </c>
      <c r="J165" s="116">
        <f t="shared" si="42"/>
        <v>1582.5439199999998</v>
      </c>
      <c r="K165" s="116">
        <f t="shared" si="42"/>
        <v>0</v>
      </c>
      <c r="L165" s="116">
        <f t="shared" si="42"/>
        <v>0</v>
      </c>
    </row>
    <row r="166" spans="1:12" ht="12.75" customHeight="1" x14ac:dyDescent="0.2"/>
    <row r="167" spans="1:12" ht="12.75" customHeight="1" x14ac:dyDescent="0.2">
      <c r="A167" s="106">
        <v>1400</v>
      </c>
      <c r="B167" s="107" t="s">
        <v>377</v>
      </c>
      <c r="C167" s="106">
        <v>4351</v>
      </c>
      <c r="D167" s="106">
        <v>2111</v>
      </c>
      <c r="E167" s="108">
        <v>4351000000000</v>
      </c>
      <c r="F167" s="109" t="s">
        <v>423</v>
      </c>
      <c r="G167" s="96">
        <v>650</v>
      </c>
      <c r="I167" s="96">
        <v>600</v>
      </c>
      <c r="J167" s="96">
        <v>495.00700000000001</v>
      </c>
      <c r="K167" s="96"/>
      <c r="L167" s="96"/>
    </row>
    <row r="168" spans="1:12" ht="12.75" customHeight="1" thickBot="1" x14ac:dyDescent="0.25">
      <c r="A168" s="106">
        <v>1400</v>
      </c>
      <c r="B168" s="107" t="s">
        <v>377</v>
      </c>
      <c r="C168" s="106">
        <v>4351</v>
      </c>
      <c r="D168" s="106">
        <v>2112</v>
      </c>
      <c r="E168" s="108">
        <v>4351000000000</v>
      </c>
      <c r="F168" s="109" t="s">
        <v>424</v>
      </c>
      <c r="G168" s="96">
        <v>1100</v>
      </c>
      <c r="I168" s="96">
        <v>1100</v>
      </c>
      <c r="J168" s="96">
        <v>643.02</v>
      </c>
      <c r="K168" s="96"/>
      <c r="L168" s="96"/>
    </row>
    <row r="169" spans="1:12" ht="12.75" customHeight="1" x14ac:dyDescent="0.2">
      <c r="A169" s="110"/>
      <c r="B169" s="111" t="s">
        <v>17</v>
      </c>
      <c r="C169" s="112">
        <v>4351</v>
      </c>
      <c r="D169" s="113"/>
      <c r="E169" s="114"/>
      <c r="F169" s="115"/>
      <c r="G169" s="116">
        <f t="shared" ref="G169:L169" si="43">SUM(G167:G168)</f>
        <v>1750</v>
      </c>
      <c r="I169" s="116">
        <f t="shared" si="43"/>
        <v>1700</v>
      </c>
      <c r="J169" s="116">
        <f t="shared" si="43"/>
        <v>1138.027</v>
      </c>
      <c r="K169" s="116">
        <f t="shared" si="43"/>
        <v>0</v>
      </c>
      <c r="L169" s="116">
        <f t="shared" si="43"/>
        <v>0</v>
      </c>
    </row>
    <row r="170" spans="1:12" ht="12.75" customHeight="1" x14ac:dyDescent="0.2"/>
    <row r="171" spans="1:12" ht="12.75" customHeight="1" x14ac:dyDescent="0.2">
      <c r="A171" s="124"/>
      <c r="B171" s="125" t="s">
        <v>286</v>
      </c>
      <c r="C171" s="126"/>
      <c r="D171" s="127"/>
      <c r="E171" s="128"/>
      <c r="F171" s="129"/>
      <c r="G171" s="130">
        <f t="shared" ref="G171:L171" si="44">SUM(G169,G165)</f>
        <v>3850</v>
      </c>
      <c r="I171" s="130">
        <f t="shared" si="44"/>
        <v>3700</v>
      </c>
      <c r="J171" s="130">
        <f t="shared" si="44"/>
        <v>2720.5709200000001</v>
      </c>
      <c r="K171" s="130">
        <f t="shared" si="44"/>
        <v>0</v>
      </c>
      <c r="L171" s="130">
        <f t="shared" si="44"/>
        <v>0</v>
      </c>
    </row>
    <row r="172" spans="1:12" ht="12.75" customHeight="1" x14ac:dyDescent="0.2"/>
    <row r="173" spans="1:12" ht="12.75" customHeight="1" x14ac:dyDescent="0.2"/>
    <row r="174" spans="1:12" ht="12.75" customHeight="1" thickBot="1" x14ac:dyDescent="0.25">
      <c r="A174" s="106">
        <v>1500</v>
      </c>
      <c r="B174" s="107" t="s">
        <v>378</v>
      </c>
      <c r="C174" s="106">
        <v>0</v>
      </c>
      <c r="D174" s="106">
        <v>1361</v>
      </c>
      <c r="E174" s="108">
        <v>6171150000000</v>
      </c>
      <c r="F174" s="109" t="s">
        <v>321</v>
      </c>
      <c r="G174" s="96">
        <v>700</v>
      </c>
      <c r="I174" s="96">
        <v>700</v>
      </c>
      <c r="J174" s="96">
        <v>574.45000000000005</v>
      </c>
      <c r="K174" s="96"/>
      <c r="L174" s="96"/>
    </row>
    <row r="175" spans="1:12" ht="12.75" customHeight="1" x14ac:dyDescent="0.2">
      <c r="A175" s="110"/>
      <c r="B175" s="111" t="s">
        <v>17</v>
      </c>
      <c r="C175" s="112">
        <v>0</v>
      </c>
      <c r="D175" s="113"/>
      <c r="E175" s="114"/>
      <c r="F175" s="115"/>
      <c r="G175" s="116">
        <f t="shared" ref="G175:L175" si="45">SUM(G174)</f>
        <v>700</v>
      </c>
      <c r="I175" s="116">
        <f t="shared" si="45"/>
        <v>700</v>
      </c>
      <c r="J175" s="116">
        <f t="shared" si="45"/>
        <v>574.45000000000005</v>
      </c>
      <c r="K175" s="116">
        <f t="shared" si="45"/>
        <v>0</v>
      </c>
      <c r="L175" s="116">
        <f t="shared" si="45"/>
        <v>0</v>
      </c>
    </row>
    <row r="176" spans="1:12" ht="12.75" customHeight="1" x14ac:dyDescent="0.2"/>
    <row r="177" spans="1:12" ht="12.75" customHeight="1" thickBot="1" x14ac:dyDescent="0.25">
      <c r="A177" s="106">
        <v>1500</v>
      </c>
      <c r="B177" s="107" t="s">
        <v>378</v>
      </c>
      <c r="C177" s="106">
        <v>2169</v>
      </c>
      <c r="D177" s="106">
        <v>2212</v>
      </c>
      <c r="E177" s="108">
        <v>2169000000000</v>
      </c>
      <c r="F177" s="109" t="s">
        <v>379</v>
      </c>
      <c r="G177" s="96">
        <v>200</v>
      </c>
      <c r="I177" s="96">
        <v>200</v>
      </c>
      <c r="J177" s="96">
        <v>60</v>
      </c>
      <c r="K177" s="96"/>
      <c r="L177" s="96"/>
    </row>
    <row r="178" spans="1:12" ht="12.75" customHeight="1" x14ac:dyDescent="0.2">
      <c r="A178" s="110"/>
      <c r="B178" s="111" t="s">
        <v>17</v>
      </c>
      <c r="C178" s="112">
        <v>2169</v>
      </c>
      <c r="D178" s="113"/>
      <c r="E178" s="114"/>
      <c r="F178" s="115"/>
      <c r="G178" s="116">
        <f t="shared" ref="G178:L178" si="46">SUM(G177)</f>
        <v>200</v>
      </c>
      <c r="I178" s="116">
        <f t="shared" si="46"/>
        <v>200</v>
      </c>
      <c r="J178" s="116">
        <f t="shared" si="46"/>
        <v>60</v>
      </c>
      <c r="K178" s="116">
        <f t="shared" si="46"/>
        <v>0</v>
      </c>
      <c r="L178" s="116">
        <f t="shared" si="46"/>
        <v>0</v>
      </c>
    </row>
    <row r="179" spans="1:12" ht="12.75" customHeight="1" x14ac:dyDescent="0.2"/>
    <row r="180" spans="1:12" ht="12.75" customHeight="1" x14ac:dyDescent="0.2">
      <c r="A180" s="124"/>
      <c r="B180" s="125" t="s">
        <v>289</v>
      </c>
      <c r="C180" s="126"/>
      <c r="D180" s="127"/>
      <c r="E180" s="128"/>
      <c r="F180" s="129"/>
      <c r="G180" s="130">
        <f t="shared" ref="G180:L180" si="47">SUM(G178,G175)</f>
        <v>900</v>
      </c>
      <c r="I180" s="130">
        <f t="shared" si="47"/>
        <v>900</v>
      </c>
      <c r="J180" s="130">
        <f t="shared" si="47"/>
        <v>634.45000000000005</v>
      </c>
      <c r="K180" s="130">
        <f t="shared" si="47"/>
        <v>0</v>
      </c>
      <c r="L180" s="130">
        <f t="shared" si="47"/>
        <v>0</v>
      </c>
    </row>
    <row r="181" spans="1:12" ht="12.75" customHeight="1" x14ac:dyDescent="0.2"/>
    <row r="182" spans="1:12" ht="12.75" customHeight="1" x14ac:dyDescent="0.2"/>
    <row r="183" spans="1:12" ht="12.75" customHeight="1" thickBot="1" x14ac:dyDescent="0.25">
      <c r="A183" s="106">
        <v>1600</v>
      </c>
      <c r="B183" s="107" t="s">
        <v>380</v>
      </c>
      <c r="C183" s="106">
        <v>0</v>
      </c>
      <c r="D183" s="106">
        <v>4121</v>
      </c>
      <c r="E183" s="108">
        <v>6171160000000</v>
      </c>
      <c r="F183" s="109" t="s">
        <v>425</v>
      </c>
      <c r="G183" s="96">
        <v>283.91000000000003</v>
      </c>
      <c r="I183" s="96">
        <v>197.4</v>
      </c>
      <c r="J183" s="96">
        <v>200.46299999999999</v>
      </c>
      <c r="K183" s="96"/>
      <c r="L183" s="96"/>
    </row>
    <row r="184" spans="1:12" ht="12.75" customHeight="1" x14ac:dyDescent="0.2">
      <c r="A184" s="110"/>
      <c r="B184" s="111" t="s">
        <v>17</v>
      </c>
      <c r="C184" s="112">
        <v>0</v>
      </c>
      <c r="D184" s="113"/>
      <c r="E184" s="114"/>
      <c r="F184" s="115"/>
      <c r="G184" s="116">
        <f t="shared" ref="G184:L184" si="48">SUM(G183)</f>
        <v>283.91000000000003</v>
      </c>
      <c r="I184" s="116">
        <f t="shared" si="48"/>
        <v>197.4</v>
      </c>
      <c r="J184" s="116">
        <f t="shared" si="48"/>
        <v>200.46299999999999</v>
      </c>
      <c r="K184" s="116">
        <f t="shared" si="48"/>
        <v>0</v>
      </c>
      <c r="L184" s="116">
        <f t="shared" si="48"/>
        <v>0</v>
      </c>
    </row>
    <row r="185" spans="1:12" ht="12.75" customHeight="1" x14ac:dyDescent="0.2"/>
    <row r="186" spans="1:12" ht="12.75" customHeight="1" x14ac:dyDescent="0.2">
      <c r="A186" s="106">
        <v>1600</v>
      </c>
      <c r="B186" s="107" t="s">
        <v>380</v>
      </c>
      <c r="C186" s="106">
        <v>2299</v>
      </c>
      <c r="D186" s="106">
        <v>2212</v>
      </c>
      <c r="E186" s="108">
        <v>2299000000000</v>
      </c>
      <c r="F186" s="109" t="s">
        <v>381</v>
      </c>
      <c r="G186" s="96">
        <v>5000</v>
      </c>
      <c r="I186" s="96">
        <v>4500</v>
      </c>
      <c r="J186" s="96">
        <v>3966.48</v>
      </c>
      <c r="K186" s="96"/>
      <c r="L186" s="96"/>
    </row>
    <row r="187" spans="1:12" ht="12.75" customHeight="1" thickBot="1" x14ac:dyDescent="0.25">
      <c r="A187" s="106">
        <v>1600</v>
      </c>
      <c r="B187" s="107" t="s">
        <v>380</v>
      </c>
      <c r="C187" s="106">
        <v>2299</v>
      </c>
      <c r="D187" s="106">
        <v>2212</v>
      </c>
      <c r="E187" s="108">
        <v>2299000000000</v>
      </c>
      <c r="F187" s="109" t="s">
        <v>426</v>
      </c>
      <c r="G187" s="96">
        <v>10500</v>
      </c>
      <c r="I187" s="96">
        <v>10000</v>
      </c>
      <c r="J187" s="96">
        <v>20636.172999999999</v>
      </c>
      <c r="K187" s="96"/>
      <c r="L187" s="96"/>
    </row>
    <row r="188" spans="1:12" ht="12.75" customHeight="1" x14ac:dyDescent="0.2">
      <c r="A188" s="110"/>
      <c r="B188" s="111" t="s">
        <v>17</v>
      </c>
      <c r="C188" s="112">
        <v>2299</v>
      </c>
      <c r="D188" s="113"/>
      <c r="E188" s="114"/>
      <c r="F188" s="115"/>
      <c r="G188" s="116">
        <f t="shared" ref="G188:L188" si="49">SUM(G186:G187)</f>
        <v>15500</v>
      </c>
      <c r="I188" s="116">
        <f t="shared" si="49"/>
        <v>14500</v>
      </c>
      <c r="J188" s="116">
        <f t="shared" si="49"/>
        <v>24602.652999999998</v>
      </c>
      <c r="K188" s="116">
        <f t="shared" si="49"/>
        <v>0</v>
      </c>
      <c r="L188" s="116">
        <f t="shared" si="49"/>
        <v>0</v>
      </c>
    </row>
    <row r="189" spans="1:12" ht="12.75" customHeight="1" x14ac:dyDescent="0.2"/>
    <row r="190" spans="1:12" ht="12.75" customHeight="1" thickBot="1" x14ac:dyDescent="0.25">
      <c r="A190" s="106">
        <v>1600</v>
      </c>
      <c r="B190" s="107" t="s">
        <v>380</v>
      </c>
      <c r="C190" s="106">
        <v>6171</v>
      </c>
      <c r="D190" s="106">
        <v>2324</v>
      </c>
      <c r="E190" s="108">
        <v>6171160000000</v>
      </c>
      <c r="F190" s="109" t="s">
        <v>323</v>
      </c>
      <c r="G190" s="96">
        <v>130</v>
      </c>
      <c r="I190" s="96">
        <v>130</v>
      </c>
      <c r="J190" s="96">
        <v>102.6</v>
      </c>
      <c r="K190" s="96"/>
      <c r="L190" s="96"/>
    </row>
    <row r="191" spans="1:12" ht="12.75" customHeight="1" x14ac:dyDescent="0.2">
      <c r="A191" s="110"/>
      <c r="B191" s="111" t="s">
        <v>17</v>
      </c>
      <c r="C191" s="112">
        <v>6171</v>
      </c>
      <c r="D191" s="113"/>
      <c r="E191" s="114"/>
      <c r="F191" s="115"/>
      <c r="G191" s="116">
        <f t="shared" ref="G191:L191" si="50">SUM(G190)</f>
        <v>130</v>
      </c>
      <c r="I191" s="116">
        <f t="shared" si="50"/>
        <v>130</v>
      </c>
      <c r="J191" s="116">
        <f t="shared" si="50"/>
        <v>102.6</v>
      </c>
      <c r="K191" s="116">
        <f t="shared" si="50"/>
        <v>0</v>
      </c>
      <c r="L191" s="116">
        <f t="shared" si="50"/>
        <v>0</v>
      </c>
    </row>
    <row r="192" spans="1:12" ht="12.75" customHeight="1" x14ac:dyDescent="0.2"/>
    <row r="193" spans="1:12" ht="12.75" customHeight="1" x14ac:dyDescent="0.2">
      <c r="A193" s="124"/>
      <c r="B193" s="125" t="s">
        <v>293</v>
      </c>
      <c r="C193" s="126"/>
      <c r="D193" s="127"/>
      <c r="E193" s="128"/>
      <c r="F193" s="129"/>
      <c r="G193" s="130">
        <f t="shared" ref="G193:L193" si="51">SUM(G191,G188,G184)</f>
        <v>15913.91</v>
      </c>
      <c r="I193" s="130">
        <f t="shared" si="51"/>
        <v>14827.4</v>
      </c>
      <c r="J193" s="130">
        <f t="shared" si="51"/>
        <v>24905.715999999997</v>
      </c>
      <c r="K193" s="130">
        <f t="shared" si="51"/>
        <v>0</v>
      </c>
      <c r="L193" s="130">
        <f t="shared" si="51"/>
        <v>0</v>
      </c>
    </row>
    <row r="194" spans="1:12" ht="12.75" customHeight="1" x14ac:dyDescent="0.2"/>
    <row r="195" spans="1:12" ht="12.75" customHeight="1" x14ac:dyDescent="0.2"/>
    <row r="196" spans="1:12" ht="12.75" customHeight="1" thickBot="1" x14ac:dyDescent="0.25">
      <c r="A196" s="106">
        <v>2000</v>
      </c>
      <c r="B196" s="107" t="s">
        <v>382</v>
      </c>
      <c r="C196" s="106">
        <v>0</v>
      </c>
      <c r="D196" s="106">
        <v>4121</v>
      </c>
      <c r="E196" s="108">
        <v>5311000000000</v>
      </c>
      <c r="F196" s="109" t="s">
        <v>383</v>
      </c>
      <c r="G196" s="96">
        <v>1140</v>
      </c>
      <c r="I196" s="96">
        <v>1699.461</v>
      </c>
      <c r="J196" s="96">
        <v>1295.0219999999999</v>
      </c>
      <c r="K196" s="96"/>
      <c r="L196" s="96"/>
    </row>
    <row r="197" spans="1:12" ht="12.75" customHeight="1" x14ac:dyDescent="0.2">
      <c r="A197" s="110"/>
      <c r="B197" s="111" t="s">
        <v>17</v>
      </c>
      <c r="C197" s="112">
        <v>0</v>
      </c>
      <c r="D197" s="113"/>
      <c r="E197" s="114"/>
      <c r="F197" s="115"/>
      <c r="G197" s="116">
        <f t="shared" ref="G197:L197" si="52">SUM(G196)</f>
        <v>1140</v>
      </c>
      <c r="I197" s="116">
        <f t="shared" si="52"/>
        <v>1699.461</v>
      </c>
      <c r="J197" s="116">
        <f t="shared" si="52"/>
        <v>1295.0219999999999</v>
      </c>
      <c r="K197" s="116">
        <f t="shared" si="52"/>
        <v>0</v>
      </c>
      <c r="L197" s="116">
        <f t="shared" si="52"/>
        <v>0</v>
      </c>
    </row>
    <row r="198" spans="1:12" ht="12.75" customHeight="1" x14ac:dyDescent="0.2"/>
    <row r="199" spans="1:12" ht="12.75" customHeight="1" x14ac:dyDescent="0.2">
      <c r="A199" s="106">
        <v>2000</v>
      </c>
      <c r="B199" s="107" t="s">
        <v>382</v>
      </c>
      <c r="C199" s="106">
        <v>5311</v>
      </c>
      <c r="D199" s="106">
        <v>2111</v>
      </c>
      <c r="E199" s="108">
        <v>5311000000000</v>
      </c>
      <c r="F199" s="109" t="s">
        <v>367</v>
      </c>
      <c r="G199" s="96">
        <v>1100</v>
      </c>
      <c r="I199" s="96">
        <v>1100</v>
      </c>
      <c r="J199" s="96">
        <v>1040.8330000000001</v>
      </c>
      <c r="K199" s="96"/>
      <c r="L199" s="96"/>
    </row>
    <row r="200" spans="1:12" ht="12.75" customHeight="1" thickBot="1" x14ac:dyDescent="0.25">
      <c r="A200" s="106">
        <v>2000</v>
      </c>
      <c r="B200" s="107" t="s">
        <v>382</v>
      </c>
      <c r="C200" s="106">
        <v>5311</v>
      </c>
      <c r="D200" s="106">
        <v>2212</v>
      </c>
      <c r="E200" s="108">
        <v>5311000000000</v>
      </c>
      <c r="F200" s="109" t="s">
        <v>379</v>
      </c>
      <c r="G200" s="96">
        <v>300</v>
      </c>
      <c r="I200" s="96">
        <v>300</v>
      </c>
      <c r="J200" s="96">
        <v>192.51599999999999</v>
      </c>
      <c r="K200" s="96"/>
      <c r="L200" s="96"/>
    </row>
    <row r="201" spans="1:12" ht="12.75" customHeight="1" x14ac:dyDescent="0.2">
      <c r="A201" s="110"/>
      <c r="B201" s="111" t="s">
        <v>17</v>
      </c>
      <c r="C201" s="112"/>
      <c r="D201" s="112">
        <v>5311</v>
      </c>
      <c r="E201" s="114"/>
      <c r="F201" s="115"/>
      <c r="G201" s="116">
        <f t="shared" ref="G201:L201" si="53">SUM(G199:G200)</f>
        <v>1400</v>
      </c>
      <c r="I201" s="116">
        <f t="shared" si="53"/>
        <v>1400</v>
      </c>
      <c r="J201" s="116">
        <f t="shared" si="53"/>
        <v>1233.3490000000002</v>
      </c>
      <c r="K201" s="116">
        <f t="shared" si="53"/>
        <v>0</v>
      </c>
      <c r="L201" s="116">
        <f t="shared" si="53"/>
        <v>0</v>
      </c>
    </row>
    <row r="202" spans="1:12" ht="12.75" customHeight="1" x14ac:dyDescent="0.2"/>
    <row r="203" spans="1:12" ht="12.75" customHeight="1" x14ac:dyDescent="0.2">
      <c r="A203" s="124"/>
      <c r="B203" s="125" t="s">
        <v>306</v>
      </c>
      <c r="C203" s="126"/>
      <c r="D203" s="127"/>
      <c r="E203" s="128"/>
      <c r="F203" s="129"/>
      <c r="G203" s="130">
        <f t="shared" ref="G203:L203" si="54">SUM(G201,G197)</f>
        <v>2540</v>
      </c>
      <c r="I203" s="130">
        <f t="shared" si="54"/>
        <v>3099.4610000000002</v>
      </c>
      <c r="J203" s="130">
        <f t="shared" si="54"/>
        <v>2528.3710000000001</v>
      </c>
      <c r="K203" s="130">
        <f t="shared" si="54"/>
        <v>0</v>
      </c>
      <c r="L203" s="130">
        <f t="shared" si="54"/>
        <v>0</v>
      </c>
    </row>
    <row r="204" spans="1:12" ht="12.75" customHeight="1" x14ac:dyDescent="0.2"/>
    <row r="205" spans="1:12" ht="12.75" customHeight="1" x14ac:dyDescent="0.2">
      <c r="A205" s="124"/>
      <c r="B205" s="125" t="s">
        <v>307</v>
      </c>
      <c r="C205" s="126"/>
      <c r="D205" s="127"/>
      <c r="E205" s="128"/>
      <c r="F205" s="129"/>
      <c r="G205" s="130">
        <f>SUM(G203,G193,G180,G171,G159,G153,G137,G98,G71,G61,G52,G39,G32,G26,G9)</f>
        <v>336458.72</v>
      </c>
      <c r="I205" s="130">
        <f>SUM(I203,I193,I180,I171,I159,I153,I137,I98,I71,I61,I52,I39,I32,I26,I9)</f>
        <v>278584.761</v>
      </c>
      <c r="J205" s="130">
        <f>SUM(J203,J193,J180,J171,J159,J153,J137,J98,J71,J61,J52,J39,J32,J26,J9)</f>
        <v>264149.31599000003</v>
      </c>
      <c r="K205" s="130">
        <f>SUM(K203,K193,K180,K171,K159,K153,K137,K98,K71,K61,K52,K39,K32,K26,K9)</f>
        <v>0</v>
      </c>
      <c r="L205" s="130">
        <f>SUM(L203,L193,L180,L171,L159,L153,L137,L98,L71,L61,L52,L39,L32,L26,L9)</f>
        <v>0</v>
      </c>
    </row>
    <row r="206" spans="1:12" ht="12.75" customHeight="1" x14ac:dyDescent="0.2"/>
    <row r="207" spans="1:12" ht="12.75" customHeight="1" x14ac:dyDescent="0.2"/>
    <row r="208" spans="1:12" ht="12.75" customHeight="1" x14ac:dyDescent="0.2"/>
    <row r="209" spans="1:12" ht="12.75" customHeight="1" x14ac:dyDescent="0.2"/>
    <row r="210" spans="1:12" ht="12.75" customHeight="1" x14ac:dyDescent="0.2">
      <c r="A210" s="106">
        <v>900</v>
      </c>
      <c r="B210" s="107" t="s">
        <v>345</v>
      </c>
      <c r="C210" s="106">
        <v>0</v>
      </c>
      <c r="D210" s="106">
        <v>8115</v>
      </c>
      <c r="E210" s="108">
        <v>6171090000000</v>
      </c>
      <c r="F210" s="109" t="s">
        <v>345</v>
      </c>
      <c r="G210" s="131">
        <f>72022.36+195+9905.92+1908.5+5641.5+6300+509.2+2035+27.819</f>
        <v>98545.298999999999</v>
      </c>
      <c r="I210" s="96"/>
      <c r="J210" s="96"/>
      <c r="K210" s="96"/>
      <c r="L210" s="96"/>
    </row>
    <row r="211" spans="1:12" ht="12.75" customHeight="1" thickBot="1" x14ac:dyDescent="0.25">
      <c r="A211" s="106">
        <v>900</v>
      </c>
      <c r="B211" s="107" t="s">
        <v>345</v>
      </c>
      <c r="C211" s="106">
        <v>0</v>
      </c>
      <c r="D211" s="106">
        <v>8115</v>
      </c>
      <c r="E211" s="108">
        <v>6171090000000</v>
      </c>
      <c r="F211" s="109" t="s">
        <v>346</v>
      </c>
      <c r="G211" s="131">
        <v>8.4909999999999997</v>
      </c>
      <c r="I211" s="96"/>
      <c r="J211" s="96"/>
      <c r="K211" s="96"/>
      <c r="L211" s="96"/>
    </row>
    <row r="212" spans="1:12" ht="12.75" customHeight="1" x14ac:dyDescent="0.2">
      <c r="A212" s="110"/>
      <c r="B212" s="111" t="s">
        <v>17</v>
      </c>
      <c r="C212" s="112">
        <v>0</v>
      </c>
      <c r="D212" s="113"/>
      <c r="E212" s="114"/>
      <c r="F212" s="115"/>
      <c r="G212" s="116">
        <f t="shared" ref="G212:L212" si="55">SUM(G210:G211)</f>
        <v>98553.79</v>
      </c>
      <c r="I212" s="116">
        <f t="shared" si="55"/>
        <v>0</v>
      </c>
      <c r="J212" s="116">
        <f t="shared" si="55"/>
        <v>0</v>
      </c>
      <c r="K212" s="116">
        <f t="shared" si="55"/>
        <v>0</v>
      </c>
      <c r="L212" s="116">
        <f t="shared" si="55"/>
        <v>0</v>
      </c>
    </row>
    <row r="213" spans="1:12" ht="12.75" customHeight="1" x14ac:dyDescent="0.2"/>
    <row r="214" spans="1:12" ht="12.75" customHeight="1" x14ac:dyDescent="0.2"/>
    <row r="215" spans="1:12" ht="12.75" customHeight="1" x14ac:dyDescent="0.2"/>
    <row r="216" spans="1:12" ht="12.75" customHeight="1" x14ac:dyDescent="0.2">
      <c r="B216" s="125" t="s">
        <v>307</v>
      </c>
      <c r="C216" s="126"/>
      <c r="D216" s="127"/>
      <c r="E216" s="128"/>
      <c r="F216" s="129"/>
      <c r="G216" s="130">
        <f t="shared" ref="G216:L216" si="56">SUM(G212,G205)</f>
        <v>435012.50999999995</v>
      </c>
      <c r="I216" s="130">
        <f t="shared" si="56"/>
        <v>278584.761</v>
      </c>
      <c r="J216" s="130">
        <f t="shared" si="56"/>
        <v>264149.31599000003</v>
      </c>
      <c r="K216" s="130">
        <f t="shared" si="56"/>
        <v>0</v>
      </c>
      <c r="L216" s="130">
        <f t="shared" si="56"/>
        <v>0</v>
      </c>
    </row>
    <row r="217" spans="1:12" ht="12.75" customHeight="1" x14ac:dyDescent="0.2"/>
    <row r="218" spans="1:12" ht="12.75" customHeight="1" x14ac:dyDescent="0.2"/>
    <row r="219" spans="1:12" ht="12.75" customHeight="1" x14ac:dyDescent="0.2"/>
    <row r="220" spans="1:12" ht="12.75" customHeight="1" x14ac:dyDescent="0.2"/>
    <row r="221" spans="1:12" ht="12.75" customHeight="1" x14ac:dyDescent="0.2">
      <c r="F221" s="99" t="s">
        <v>666</v>
      </c>
      <c r="G221" s="99">
        <v>195</v>
      </c>
    </row>
    <row r="222" spans="1:12" ht="12.75" customHeight="1" x14ac:dyDescent="0.2">
      <c r="F222" s="99" t="s">
        <v>665</v>
      </c>
      <c r="G222" s="99">
        <f>14255.92-4350</f>
        <v>9905.92</v>
      </c>
    </row>
    <row r="223" spans="1:12" ht="12.75" customHeight="1" x14ac:dyDescent="0.2">
      <c r="F223" s="99" t="s">
        <v>669</v>
      </c>
      <c r="G223" s="99">
        <f>1908.5+5641.5</f>
        <v>7550</v>
      </c>
    </row>
    <row r="224" spans="1:12" ht="12.75" customHeight="1" x14ac:dyDescent="0.2">
      <c r="F224" s="99" t="s">
        <v>668</v>
      </c>
      <c r="G224" s="99">
        <v>6300</v>
      </c>
    </row>
    <row r="225" spans="6:7" ht="12.75" customHeight="1" x14ac:dyDescent="0.2">
      <c r="F225" s="99" t="s">
        <v>674</v>
      </c>
      <c r="G225" s="99">
        <v>509.2</v>
      </c>
    </row>
    <row r="226" spans="6:7" ht="12.75" customHeight="1" x14ac:dyDescent="0.2">
      <c r="F226" s="99" t="s">
        <v>672</v>
      </c>
      <c r="G226" s="99">
        <v>2035</v>
      </c>
    </row>
    <row r="227" spans="6:7" ht="12.75" customHeight="1" x14ac:dyDescent="0.2"/>
    <row r="228" spans="6:7" ht="12.75" customHeight="1" x14ac:dyDescent="0.2">
      <c r="G228" s="99">
        <f>SUM(G221:G227)</f>
        <v>26495.119999999999</v>
      </c>
    </row>
    <row r="229" spans="6:7" ht="12.75" customHeight="1" x14ac:dyDescent="0.2"/>
    <row r="230" spans="6:7" ht="12.75" customHeight="1" x14ac:dyDescent="0.2"/>
    <row r="231" spans="6:7" ht="12.75" customHeight="1" x14ac:dyDescent="0.2"/>
    <row r="232" spans="6:7" ht="12.75" customHeight="1" x14ac:dyDescent="0.2"/>
    <row r="233" spans="6:7" ht="12.75" customHeight="1" x14ac:dyDescent="0.2"/>
    <row r="234" spans="6:7" ht="12.75" customHeight="1" x14ac:dyDescent="0.2"/>
    <row r="235" spans="6:7" ht="12.75" customHeight="1" x14ac:dyDescent="0.2"/>
    <row r="236" spans="6:7" ht="12.75" customHeight="1" x14ac:dyDescent="0.2"/>
    <row r="237" spans="6:7" ht="12.75" customHeight="1" x14ac:dyDescent="0.2"/>
    <row r="238" spans="6:7" ht="12.75" customHeight="1" x14ac:dyDescent="0.2"/>
    <row r="239" spans="6:7" ht="12.75" customHeight="1" x14ac:dyDescent="0.2"/>
    <row r="240" spans="6:7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</sheetData>
  <autoFilter ref="A4:G203"/>
  <mergeCells count="1">
    <mergeCell ref="A2:G2"/>
  </mergeCells>
  <pageMargins left="0.78740157480314965" right="0.78740157480314965" top="0.78740157480314965" bottom="0.39370078740157483" header="0.51181102362204722" footer="0.51181102362204722"/>
  <pageSetup paperSize="9" orientation="landscape" r:id="rId1"/>
  <headerFooter alignWithMargins="0">
    <oddHeader>&amp;RStránka &amp;P z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5"/>
  <sheetViews>
    <sheetView workbookViewId="0">
      <pane ySplit="4" topLeftCell="A5" activePane="bottomLeft" state="frozen"/>
      <selection pane="bottomLeft" activeCell="A2" sqref="A2:G2"/>
    </sheetView>
  </sheetViews>
  <sheetFormatPr defaultRowHeight="12.75" x14ac:dyDescent="0.2"/>
  <cols>
    <col min="1" max="1" width="6.5703125" style="97" customWidth="1"/>
    <col min="2" max="2" width="29.5703125" style="98" customWidth="1"/>
    <col min="3" max="3" width="6.140625" style="98" bestFit="1" customWidth="1"/>
    <col min="4" max="4" width="6.140625" style="99" bestFit="1" customWidth="1"/>
    <col min="5" max="5" width="12.140625" style="100" bestFit="1" customWidth="1"/>
    <col min="6" max="6" width="40.140625" style="99" customWidth="1"/>
    <col min="7" max="7" width="17.28515625" style="99" bestFit="1" customWidth="1"/>
    <col min="8" max="8" width="7" style="97" customWidth="1"/>
    <col min="9" max="10" width="17.28515625" style="99" bestFit="1" customWidth="1"/>
    <col min="11" max="11" width="13.5703125" style="99" customWidth="1"/>
    <col min="12" max="12" width="14.85546875" style="99" customWidth="1"/>
    <col min="13" max="255" width="9.140625" style="97"/>
    <col min="256" max="256" width="9.5703125" style="97" bestFit="1" customWidth="1"/>
    <col min="257" max="257" width="21.85546875" style="97" customWidth="1"/>
    <col min="258" max="259" width="6.140625" style="97" bestFit="1" customWidth="1"/>
    <col min="260" max="260" width="12.140625" style="97" bestFit="1" customWidth="1"/>
    <col min="261" max="261" width="39.7109375" style="97" customWidth="1"/>
    <col min="262" max="262" width="16.5703125" style="97" bestFit="1" customWidth="1"/>
    <col min="263" max="263" width="17.28515625" style="97" bestFit="1" customWidth="1"/>
    <col min="264" max="264" width="9.140625" style="97"/>
    <col min="265" max="266" width="17.28515625" style="97" bestFit="1" customWidth="1"/>
    <col min="267" max="267" width="17.28515625" style="97" customWidth="1"/>
    <col min="268" max="268" width="17.28515625" style="97" bestFit="1" customWidth="1"/>
    <col min="269" max="511" width="9.140625" style="97"/>
    <col min="512" max="512" width="9.5703125" style="97" bestFit="1" customWidth="1"/>
    <col min="513" max="513" width="21.85546875" style="97" customWidth="1"/>
    <col min="514" max="515" width="6.140625" style="97" bestFit="1" customWidth="1"/>
    <col min="516" max="516" width="12.140625" style="97" bestFit="1" customWidth="1"/>
    <col min="517" max="517" width="39.7109375" style="97" customWidth="1"/>
    <col min="518" max="518" width="16.5703125" style="97" bestFit="1" customWidth="1"/>
    <col min="519" max="519" width="17.28515625" style="97" bestFit="1" customWidth="1"/>
    <col min="520" max="520" width="9.140625" style="97"/>
    <col min="521" max="522" width="17.28515625" style="97" bestFit="1" customWidth="1"/>
    <col min="523" max="523" width="17.28515625" style="97" customWidth="1"/>
    <col min="524" max="524" width="17.28515625" style="97" bestFit="1" customWidth="1"/>
    <col min="525" max="767" width="9.140625" style="97"/>
    <col min="768" max="768" width="9.5703125" style="97" bestFit="1" customWidth="1"/>
    <col min="769" max="769" width="21.85546875" style="97" customWidth="1"/>
    <col min="770" max="771" width="6.140625" style="97" bestFit="1" customWidth="1"/>
    <col min="772" max="772" width="12.140625" style="97" bestFit="1" customWidth="1"/>
    <col min="773" max="773" width="39.7109375" style="97" customWidth="1"/>
    <col min="774" max="774" width="16.5703125" style="97" bestFit="1" customWidth="1"/>
    <col min="775" max="775" width="17.28515625" style="97" bestFit="1" customWidth="1"/>
    <col min="776" max="776" width="9.140625" style="97"/>
    <col min="777" max="778" width="17.28515625" style="97" bestFit="1" customWidth="1"/>
    <col min="779" max="779" width="17.28515625" style="97" customWidth="1"/>
    <col min="780" max="780" width="17.28515625" style="97" bestFit="1" customWidth="1"/>
    <col min="781" max="1023" width="9.140625" style="97"/>
    <col min="1024" max="1024" width="9.5703125" style="97" bestFit="1" customWidth="1"/>
    <col min="1025" max="1025" width="21.85546875" style="97" customWidth="1"/>
    <col min="1026" max="1027" width="6.140625" style="97" bestFit="1" customWidth="1"/>
    <col min="1028" max="1028" width="12.140625" style="97" bestFit="1" customWidth="1"/>
    <col min="1029" max="1029" width="39.7109375" style="97" customWidth="1"/>
    <col min="1030" max="1030" width="16.5703125" style="97" bestFit="1" customWidth="1"/>
    <col min="1031" max="1031" width="17.28515625" style="97" bestFit="1" customWidth="1"/>
    <col min="1032" max="1032" width="9.140625" style="97"/>
    <col min="1033" max="1034" width="17.28515625" style="97" bestFit="1" customWidth="1"/>
    <col min="1035" max="1035" width="17.28515625" style="97" customWidth="1"/>
    <col min="1036" max="1036" width="17.28515625" style="97" bestFit="1" customWidth="1"/>
    <col min="1037" max="1279" width="9.140625" style="97"/>
    <col min="1280" max="1280" width="9.5703125" style="97" bestFit="1" customWidth="1"/>
    <col min="1281" max="1281" width="21.85546875" style="97" customWidth="1"/>
    <col min="1282" max="1283" width="6.140625" style="97" bestFit="1" customWidth="1"/>
    <col min="1284" max="1284" width="12.140625" style="97" bestFit="1" customWidth="1"/>
    <col min="1285" max="1285" width="39.7109375" style="97" customWidth="1"/>
    <col min="1286" max="1286" width="16.5703125" style="97" bestFit="1" customWidth="1"/>
    <col min="1287" max="1287" width="17.28515625" style="97" bestFit="1" customWidth="1"/>
    <col min="1288" max="1288" width="9.140625" style="97"/>
    <col min="1289" max="1290" width="17.28515625" style="97" bestFit="1" customWidth="1"/>
    <col min="1291" max="1291" width="17.28515625" style="97" customWidth="1"/>
    <col min="1292" max="1292" width="17.28515625" style="97" bestFit="1" customWidth="1"/>
    <col min="1293" max="1535" width="9.140625" style="97"/>
    <col min="1536" max="1536" width="9.5703125" style="97" bestFit="1" customWidth="1"/>
    <col min="1537" max="1537" width="21.85546875" style="97" customWidth="1"/>
    <col min="1538" max="1539" width="6.140625" style="97" bestFit="1" customWidth="1"/>
    <col min="1540" max="1540" width="12.140625" style="97" bestFit="1" customWidth="1"/>
    <col min="1541" max="1541" width="39.7109375" style="97" customWidth="1"/>
    <col min="1542" max="1542" width="16.5703125" style="97" bestFit="1" customWidth="1"/>
    <col min="1543" max="1543" width="17.28515625" style="97" bestFit="1" customWidth="1"/>
    <col min="1544" max="1544" width="9.140625" style="97"/>
    <col min="1545" max="1546" width="17.28515625" style="97" bestFit="1" customWidth="1"/>
    <col min="1547" max="1547" width="17.28515625" style="97" customWidth="1"/>
    <col min="1548" max="1548" width="17.28515625" style="97" bestFit="1" customWidth="1"/>
    <col min="1549" max="1791" width="9.140625" style="97"/>
    <col min="1792" max="1792" width="9.5703125" style="97" bestFit="1" customWidth="1"/>
    <col min="1793" max="1793" width="21.85546875" style="97" customWidth="1"/>
    <col min="1794" max="1795" width="6.140625" style="97" bestFit="1" customWidth="1"/>
    <col min="1796" max="1796" width="12.140625" style="97" bestFit="1" customWidth="1"/>
    <col min="1797" max="1797" width="39.7109375" style="97" customWidth="1"/>
    <col min="1798" max="1798" width="16.5703125" style="97" bestFit="1" customWidth="1"/>
    <col min="1799" max="1799" width="17.28515625" style="97" bestFit="1" customWidth="1"/>
    <col min="1800" max="1800" width="9.140625" style="97"/>
    <col min="1801" max="1802" width="17.28515625" style="97" bestFit="1" customWidth="1"/>
    <col min="1803" max="1803" width="17.28515625" style="97" customWidth="1"/>
    <col min="1804" max="1804" width="17.28515625" style="97" bestFit="1" customWidth="1"/>
    <col min="1805" max="2047" width="9.140625" style="97"/>
    <col min="2048" max="2048" width="9.5703125" style="97" bestFit="1" customWidth="1"/>
    <col min="2049" max="2049" width="21.85546875" style="97" customWidth="1"/>
    <col min="2050" max="2051" width="6.140625" style="97" bestFit="1" customWidth="1"/>
    <col min="2052" max="2052" width="12.140625" style="97" bestFit="1" customWidth="1"/>
    <col min="2053" max="2053" width="39.7109375" style="97" customWidth="1"/>
    <col min="2054" max="2054" width="16.5703125" style="97" bestFit="1" customWidth="1"/>
    <col min="2055" max="2055" width="17.28515625" style="97" bestFit="1" customWidth="1"/>
    <col min="2056" max="2056" width="9.140625" style="97"/>
    <col min="2057" max="2058" width="17.28515625" style="97" bestFit="1" customWidth="1"/>
    <col min="2059" max="2059" width="17.28515625" style="97" customWidth="1"/>
    <col min="2060" max="2060" width="17.28515625" style="97" bestFit="1" customWidth="1"/>
    <col min="2061" max="2303" width="9.140625" style="97"/>
    <col min="2304" max="2304" width="9.5703125" style="97" bestFit="1" customWidth="1"/>
    <col min="2305" max="2305" width="21.85546875" style="97" customWidth="1"/>
    <col min="2306" max="2307" width="6.140625" style="97" bestFit="1" customWidth="1"/>
    <col min="2308" max="2308" width="12.140625" style="97" bestFit="1" customWidth="1"/>
    <col min="2309" max="2309" width="39.7109375" style="97" customWidth="1"/>
    <col min="2310" max="2310" width="16.5703125" style="97" bestFit="1" customWidth="1"/>
    <col min="2311" max="2311" width="17.28515625" style="97" bestFit="1" customWidth="1"/>
    <col min="2312" max="2312" width="9.140625" style="97"/>
    <col min="2313" max="2314" width="17.28515625" style="97" bestFit="1" customWidth="1"/>
    <col min="2315" max="2315" width="17.28515625" style="97" customWidth="1"/>
    <col min="2316" max="2316" width="17.28515625" style="97" bestFit="1" customWidth="1"/>
    <col min="2317" max="2559" width="9.140625" style="97"/>
    <col min="2560" max="2560" width="9.5703125" style="97" bestFit="1" customWidth="1"/>
    <col min="2561" max="2561" width="21.85546875" style="97" customWidth="1"/>
    <col min="2562" max="2563" width="6.140625" style="97" bestFit="1" customWidth="1"/>
    <col min="2564" max="2564" width="12.140625" style="97" bestFit="1" customWidth="1"/>
    <col min="2565" max="2565" width="39.7109375" style="97" customWidth="1"/>
    <col min="2566" max="2566" width="16.5703125" style="97" bestFit="1" customWidth="1"/>
    <col min="2567" max="2567" width="17.28515625" style="97" bestFit="1" customWidth="1"/>
    <col min="2568" max="2568" width="9.140625" style="97"/>
    <col min="2569" max="2570" width="17.28515625" style="97" bestFit="1" customWidth="1"/>
    <col min="2571" max="2571" width="17.28515625" style="97" customWidth="1"/>
    <col min="2572" max="2572" width="17.28515625" style="97" bestFit="1" customWidth="1"/>
    <col min="2573" max="2815" width="9.140625" style="97"/>
    <col min="2816" max="2816" width="9.5703125" style="97" bestFit="1" customWidth="1"/>
    <col min="2817" max="2817" width="21.85546875" style="97" customWidth="1"/>
    <col min="2818" max="2819" width="6.140625" style="97" bestFit="1" customWidth="1"/>
    <col min="2820" max="2820" width="12.140625" style="97" bestFit="1" customWidth="1"/>
    <col min="2821" max="2821" width="39.7109375" style="97" customWidth="1"/>
    <col min="2822" max="2822" width="16.5703125" style="97" bestFit="1" customWidth="1"/>
    <col min="2823" max="2823" width="17.28515625" style="97" bestFit="1" customWidth="1"/>
    <col min="2824" max="2824" width="9.140625" style="97"/>
    <col min="2825" max="2826" width="17.28515625" style="97" bestFit="1" customWidth="1"/>
    <col min="2827" max="2827" width="17.28515625" style="97" customWidth="1"/>
    <col min="2828" max="2828" width="17.28515625" style="97" bestFit="1" customWidth="1"/>
    <col min="2829" max="3071" width="9.140625" style="97"/>
    <col min="3072" max="3072" width="9.5703125" style="97" bestFit="1" customWidth="1"/>
    <col min="3073" max="3073" width="21.85546875" style="97" customWidth="1"/>
    <col min="3074" max="3075" width="6.140625" style="97" bestFit="1" customWidth="1"/>
    <col min="3076" max="3076" width="12.140625" style="97" bestFit="1" customWidth="1"/>
    <col min="3077" max="3077" width="39.7109375" style="97" customWidth="1"/>
    <col min="3078" max="3078" width="16.5703125" style="97" bestFit="1" customWidth="1"/>
    <col min="3079" max="3079" width="17.28515625" style="97" bestFit="1" customWidth="1"/>
    <col min="3080" max="3080" width="9.140625" style="97"/>
    <col min="3081" max="3082" width="17.28515625" style="97" bestFit="1" customWidth="1"/>
    <col min="3083" max="3083" width="17.28515625" style="97" customWidth="1"/>
    <col min="3084" max="3084" width="17.28515625" style="97" bestFit="1" customWidth="1"/>
    <col min="3085" max="3327" width="9.140625" style="97"/>
    <col min="3328" max="3328" width="9.5703125" style="97" bestFit="1" customWidth="1"/>
    <col min="3329" max="3329" width="21.85546875" style="97" customWidth="1"/>
    <col min="3330" max="3331" width="6.140625" style="97" bestFit="1" customWidth="1"/>
    <col min="3332" max="3332" width="12.140625" style="97" bestFit="1" customWidth="1"/>
    <col min="3333" max="3333" width="39.7109375" style="97" customWidth="1"/>
    <col min="3334" max="3334" width="16.5703125" style="97" bestFit="1" customWidth="1"/>
    <col min="3335" max="3335" width="17.28515625" style="97" bestFit="1" customWidth="1"/>
    <col min="3336" max="3336" width="9.140625" style="97"/>
    <col min="3337" max="3338" width="17.28515625" style="97" bestFit="1" customWidth="1"/>
    <col min="3339" max="3339" width="17.28515625" style="97" customWidth="1"/>
    <col min="3340" max="3340" width="17.28515625" style="97" bestFit="1" customWidth="1"/>
    <col min="3341" max="3583" width="9.140625" style="97"/>
    <col min="3584" max="3584" width="9.5703125" style="97" bestFit="1" customWidth="1"/>
    <col min="3585" max="3585" width="21.85546875" style="97" customWidth="1"/>
    <col min="3586" max="3587" width="6.140625" style="97" bestFit="1" customWidth="1"/>
    <col min="3588" max="3588" width="12.140625" style="97" bestFit="1" customWidth="1"/>
    <col min="3589" max="3589" width="39.7109375" style="97" customWidth="1"/>
    <col min="3590" max="3590" width="16.5703125" style="97" bestFit="1" customWidth="1"/>
    <col min="3591" max="3591" width="17.28515625" style="97" bestFit="1" customWidth="1"/>
    <col min="3592" max="3592" width="9.140625" style="97"/>
    <col min="3593" max="3594" width="17.28515625" style="97" bestFit="1" customWidth="1"/>
    <col min="3595" max="3595" width="17.28515625" style="97" customWidth="1"/>
    <col min="3596" max="3596" width="17.28515625" style="97" bestFit="1" customWidth="1"/>
    <col min="3597" max="3839" width="9.140625" style="97"/>
    <col min="3840" max="3840" width="9.5703125" style="97" bestFit="1" customWidth="1"/>
    <col min="3841" max="3841" width="21.85546875" style="97" customWidth="1"/>
    <col min="3842" max="3843" width="6.140625" style="97" bestFit="1" customWidth="1"/>
    <col min="3844" max="3844" width="12.140625" style="97" bestFit="1" customWidth="1"/>
    <col min="3845" max="3845" width="39.7109375" style="97" customWidth="1"/>
    <col min="3846" max="3846" width="16.5703125" style="97" bestFit="1" customWidth="1"/>
    <col min="3847" max="3847" width="17.28515625" style="97" bestFit="1" customWidth="1"/>
    <col min="3848" max="3848" width="9.140625" style="97"/>
    <col min="3849" max="3850" width="17.28515625" style="97" bestFit="1" customWidth="1"/>
    <col min="3851" max="3851" width="17.28515625" style="97" customWidth="1"/>
    <col min="3852" max="3852" width="17.28515625" style="97" bestFit="1" customWidth="1"/>
    <col min="3853" max="4095" width="9.140625" style="97"/>
    <col min="4096" max="4096" width="9.5703125" style="97" bestFit="1" customWidth="1"/>
    <col min="4097" max="4097" width="21.85546875" style="97" customWidth="1"/>
    <col min="4098" max="4099" width="6.140625" style="97" bestFit="1" customWidth="1"/>
    <col min="4100" max="4100" width="12.140625" style="97" bestFit="1" customWidth="1"/>
    <col min="4101" max="4101" width="39.7109375" style="97" customWidth="1"/>
    <col min="4102" max="4102" width="16.5703125" style="97" bestFit="1" customWidth="1"/>
    <col min="4103" max="4103" width="17.28515625" style="97" bestFit="1" customWidth="1"/>
    <col min="4104" max="4104" width="9.140625" style="97"/>
    <col min="4105" max="4106" width="17.28515625" style="97" bestFit="1" customWidth="1"/>
    <col min="4107" max="4107" width="17.28515625" style="97" customWidth="1"/>
    <col min="4108" max="4108" width="17.28515625" style="97" bestFit="1" customWidth="1"/>
    <col min="4109" max="4351" width="9.140625" style="97"/>
    <col min="4352" max="4352" width="9.5703125" style="97" bestFit="1" customWidth="1"/>
    <col min="4353" max="4353" width="21.85546875" style="97" customWidth="1"/>
    <col min="4354" max="4355" width="6.140625" style="97" bestFit="1" customWidth="1"/>
    <col min="4356" max="4356" width="12.140625" style="97" bestFit="1" customWidth="1"/>
    <col min="4357" max="4357" width="39.7109375" style="97" customWidth="1"/>
    <col min="4358" max="4358" width="16.5703125" style="97" bestFit="1" customWidth="1"/>
    <col min="4359" max="4359" width="17.28515625" style="97" bestFit="1" customWidth="1"/>
    <col min="4360" max="4360" width="9.140625" style="97"/>
    <col min="4361" max="4362" width="17.28515625" style="97" bestFit="1" customWidth="1"/>
    <col min="4363" max="4363" width="17.28515625" style="97" customWidth="1"/>
    <col min="4364" max="4364" width="17.28515625" style="97" bestFit="1" customWidth="1"/>
    <col min="4365" max="4607" width="9.140625" style="97"/>
    <col min="4608" max="4608" width="9.5703125" style="97" bestFit="1" customWidth="1"/>
    <col min="4609" max="4609" width="21.85546875" style="97" customWidth="1"/>
    <col min="4610" max="4611" width="6.140625" style="97" bestFit="1" customWidth="1"/>
    <col min="4612" max="4612" width="12.140625" style="97" bestFit="1" customWidth="1"/>
    <col min="4613" max="4613" width="39.7109375" style="97" customWidth="1"/>
    <col min="4614" max="4614" width="16.5703125" style="97" bestFit="1" customWidth="1"/>
    <col min="4615" max="4615" width="17.28515625" style="97" bestFit="1" customWidth="1"/>
    <col min="4616" max="4616" width="9.140625" style="97"/>
    <col min="4617" max="4618" width="17.28515625" style="97" bestFit="1" customWidth="1"/>
    <col min="4619" max="4619" width="17.28515625" style="97" customWidth="1"/>
    <col min="4620" max="4620" width="17.28515625" style="97" bestFit="1" customWidth="1"/>
    <col min="4621" max="4863" width="9.140625" style="97"/>
    <col min="4864" max="4864" width="9.5703125" style="97" bestFit="1" customWidth="1"/>
    <col min="4865" max="4865" width="21.85546875" style="97" customWidth="1"/>
    <col min="4866" max="4867" width="6.140625" style="97" bestFit="1" customWidth="1"/>
    <col min="4868" max="4868" width="12.140625" style="97" bestFit="1" customWidth="1"/>
    <col min="4869" max="4869" width="39.7109375" style="97" customWidth="1"/>
    <col min="4870" max="4870" width="16.5703125" style="97" bestFit="1" customWidth="1"/>
    <col min="4871" max="4871" width="17.28515625" style="97" bestFit="1" customWidth="1"/>
    <col min="4872" max="4872" width="9.140625" style="97"/>
    <col min="4873" max="4874" width="17.28515625" style="97" bestFit="1" customWidth="1"/>
    <col min="4875" max="4875" width="17.28515625" style="97" customWidth="1"/>
    <col min="4876" max="4876" width="17.28515625" style="97" bestFit="1" customWidth="1"/>
    <col min="4877" max="5119" width="9.140625" style="97"/>
    <col min="5120" max="5120" width="9.5703125" style="97" bestFit="1" customWidth="1"/>
    <col min="5121" max="5121" width="21.85546875" style="97" customWidth="1"/>
    <col min="5122" max="5123" width="6.140625" style="97" bestFit="1" customWidth="1"/>
    <col min="5124" max="5124" width="12.140625" style="97" bestFit="1" customWidth="1"/>
    <col min="5125" max="5125" width="39.7109375" style="97" customWidth="1"/>
    <col min="5126" max="5126" width="16.5703125" style="97" bestFit="1" customWidth="1"/>
    <col min="5127" max="5127" width="17.28515625" style="97" bestFit="1" customWidth="1"/>
    <col min="5128" max="5128" width="9.140625" style="97"/>
    <col min="5129" max="5130" width="17.28515625" style="97" bestFit="1" customWidth="1"/>
    <col min="5131" max="5131" width="17.28515625" style="97" customWidth="1"/>
    <col min="5132" max="5132" width="17.28515625" style="97" bestFit="1" customWidth="1"/>
    <col min="5133" max="5375" width="9.140625" style="97"/>
    <col min="5376" max="5376" width="9.5703125" style="97" bestFit="1" customWidth="1"/>
    <col min="5377" max="5377" width="21.85546875" style="97" customWidth="1"/>
    <col min="5378" max="5379" width="6.140625" style="97" bestFit="1" customWidth="1"/>
    <col min="5380" max="5380" width="12.140625" style="97" bestFit="1" customWidth="1"/>
    <col min="5381" max="5381" width="39.7109375" style="97" customWidth="1"/>
    <col min="5382" max="5382" width="16.5703125" style="97" bestFit="1" customWidth="1"/>
    <col min="5383" max="5383" width="17.28515625" style="97" bestFit="1" customWidth="1"/>
    <col min="5384" max="5384" width="9.140625" style="97"/>
    <col min="5385" max="5386" width="17.28515625" style="97" bestFit="1" customWidth="1"/>
    <col min="5387" max="5387" width="17.28515625" style="97" customWidth="1"/>
    <col min="5388" max="5388" width="17.28515625" style="97" bestFit="1" customWidth="1"/>
    <col min="5389" max="5631" width="9.140625" style="97"/>
    <col min="5632" max="5632" width="9.5703125" style="97" bestFit="1" customWidth="1"/>
    <col min="5633" max="5633" width="21.85546875" style="97" customWidth="1"/>
    <col min="5634" max="5635" width="6.140625" style="97" bestFit="1" customWidth="1"/>
    <col min="5636" max="5636" width="12.140625" style="97" bestFit="1" customWidth="1"/>
    <col min="5637" max="5637" width="39.7109375" style="97" customWidth="1"/>
    <col min="5638" max="5638" width="16.5703125" style="97" bestFit="1" customWidth="1"/>
    <col min="5639" max="5639" width="17.28515625" style="97" bestFit="1" customWidth="1"/>
    <col min="5640" max="5640" width="9.140625" style="97"/>
    <col min="5641" max="5642" width="17.28515625" style="97" bestFit="1" customWidth="1"/>
    <col min="5643" max="5643" width="17.28515625" style="97" customWidth="1"/>
    <col min="5644" max="5644" width="17.28515625" style="97" bestFit="1" customWidth="1"/>
    <col min="5645" max="5887" width="9.140625" style="97"/>
    <col min="5888" max="5888" width="9.5703125" style="97" bestFit="1" customWidth="1"/>
    <col min="5889" max="5889" width="21.85546875" style="97" customWidth="1"/>
    <col min="5890" max="5891" width="6.140625" style="97" bestFit="1" customWidth="1"/>
    <col min="5892" max="5892" width="12.140625" style="97" bestFit="1" customWidth="1"/>
    <col min="5893" max="5893" width="39.7109375" style="97" customWidth="1"/>
    <col min="5894" max="5894" width="16.5703125" style="97" bestFit="1" customWidth="1"/>
    <col min="5895" max="5895" width="17.28515625" style="97" bestFit="1" customWidth="1"/>
    <col min="5896" max="5896" width="9.140625" style="97"/>
    <col min="5897" max="5898" width="17.28515625" style="97" bestFit="1" customWidth="1"/>
    <col min="5899" max="5899" width="17.28515625" style="97" customWidth="1"/>
    <col min="5900" max="5900" width="17.28515625" style="97" bestFit="1" customWidth="1"/>
    <col min="5901" max="6143" width="9.140625" style="97"/>
    <col min="6144" max="6144" width="9.5703125" style="97" bestFit="1" customWidth="1"/>
    <col min="6145" max="6145" width="21.85546875" style="97" customWidth="1"/>
    <col min="6146" max="6147" width="6.140625" style="97" bestFit="1" customWidth="1"/>
    <col min="6148" max="6148" width="12.140625" style="97" bestFit="1" customWidth="1"/>
    <col min="6149" max="6149" width="39.7109375" style="97" customWidth="1"/>
    <col min="6150" max="6150" width="16.5703125" style="97" bestFit="1" customWidth="1"/>
    <col min="6151" max="6151" width="17.28515625" style="97" bestFit="1" customWidth="1"/>
    <col min="6152" max="6152" width="9.140625" style="97"/>
    <col min="6153" max="6154" width="17.28515625" style="97" bestFit="1" customWidth="1"/>
    <col min="6155" max="6155" width="17.28515625" style="97" customWidth="1"/>
    <col min="6156" max="6156" width="17.28515625" style="97" bestFit="1" customWidth="1"/>
    <col min="6157" max="6399" width="9.140625" style="97"/>
    <col min="6400" max="6400" width="9.5703125" style="97" bestFit="1" customWidth="1"/>
    <col min="6401" max="6401" width="21.85546875" style="97" customWidth="1"/>
    <col min="6402" max="6403" width="6.140625" style="97" bestFit="1" customWidth="1"/>
    <col min="6404" max="6404" width="12.140625" style="97" bestFit="1" customWidth="1"/>
    <col min="6405" max="6405" width="39.7109375" style="97" customWidth="1"/>
    <col min="6406" max="6406" width="16.5703125" style="97" bestFit="1" customWidth="1"/>
    <col min="6407" max="6407" width="17.28515625" style="97" bestFit="1" customWidth="1"/>
    <col min="6408" max="6408" width="9.140625" style="97"/>
    <col min="6409" max="6410" width="17.28515625" style="97" bestFit="1" customWidth="1"/>
    <col min="6411" max="6411" width="17.28515625" style="97" customWidth="1"/>
    <col min="6412" max="6412" width="17.28515625" style="97" bestFit="1" customWidth="1"/>
    <col min="6413" max="6655" width="9.140625" style="97"/>
    <col min="6656" max="6656" width="9.5703125" style="97" bestFit="1" customWidth="1"/>
    <col min="6657" max="6657" width="21.85546875" style="97" customWidth="1"/>
    <col min="6658" max="6659" width="6.140625" style="97" bestFit="1" customWidth="1"/>
    <col min="6660" max="6660" width="12.140625" style="97" bestFit="1" customWidth="1"/>
    <col min="6661" max="6661" width="39.7109375" style="97" customWidth="1"/>
    <col min="6662" max="6662" width="16.5703125" style="97" bestFit="1" customWidth="1"/>
    <col min="6663" max="6663" width="17.28515625" style="97" bestFit="1" customWidth="1"/>
    <col min="6664" max="6664" width="9.140625" style="97"/>
    <col min="6665" max="6666" width="17.28515625" style="97" bestFit="1" customWidth="1"/>
    <col min="6667" max="6667" width="17.28515625" style="97" customWidth="1"/>
    <col min="6668" max="6668" width="17.28515625" style="97" bestFit="1" customWidth="1"/>
    <col min="6669" max="6911" width="9.140625" style="97"/>
    <col min="6912" max="6912" width="9.5703125" style="97" bestFit="1" customWidth="1"/>
    <col min="6913" max="6913" width="21.85546875" style="97" customWidth="1"/>
    <col min="6914" max="6915" width="6.140625" style="97" bestFit="1" customWidth="1"/>
    <col min="6916" max="6916" width="12.140625" style="97" bestFit="1" customWidth="1"/>
    <col min="6917" max="6917" width="39.7109375" style="97" customWidth="1"/>
    <col min="6918" max="6918" width="16.5703125" style="97" bestFit="1" customWidth="1"/>
    <col min="6919" max="6919" width="17.28515625" style="97" bestFit="1" customWidth="1"/>
    <col min="6920" max="6920" width="9.140625" style="97"/>
    <col min="6921" max="6922" width="17.28515625" style="97" bestFit="1" customWidth="1"/>
    <col min="6923" max="6923" width="17.28515625" style="97" customWidth="1"/>
    <col min="6924" max="6924" width="17.28515625" style="97" bestFit="1" customWidth="1"/>
    <col min="6925" max="7167" width="9.140625" style="97"/>
    <col min="7168" max="7168" width="9.5703125" style="97" bestFit="1" customWidth="1"/>
    <col min="7169" max="7169" width="21.85546875" style="97" customWidth="1"/>
    <col min="7170" max="7171" width="6.140625" style="97" bestFit="1" customWidth="1"/>
    <col min="7172" max="7172" width="12.140625" style="97" bestFit="1" customWidth="1"/>
    <col min="7173" max="7173" width="39.7109375" style="97" customWidth="1"/>
    <col min="7174" max="7174" width="16.5703125" style="97" bestFit="1" customWidth="1"/>
    <col min="7175" max="7175" width="17.28515625" style="97" bestFit="1" customWidth="1"/>
    <col min="7176" max="7176" width="9.140625" style="97"/>
    <col min="7177" max="7178" width="17.28515625" style="97" bestFit="1" customWidth="1"/>
    <col min="7179" max="7179" width="17.28515625" style="97" customWidth="1"/>
    <col min="7180" max="7180" width="17.28515625" style="97" bestFit="1" customWidth="1"/>
    <col min="7181" max="7423" width="9.140625" style="97"/>
    <col min="7424" max="7424" width="9.5703125" style="97" bestFit="1" customWidth="1"/>
    <col min="7425" max="7425" width="21.85546875" style="97" customWidth="1"/>
    <col min="7426" max="7427" width="6.140625" style="97" bestFit="1" customWidth="1"/>
    <col min="7428" max="7428" width="12.140625" style="97" bestFit="1" customWidth="1"/>
    <col min="7429" max="7429" width="39.7109375" style="97" customWidth="1"/>
    <col min="7430" max="7430" width="16.5703125" style="97" bestFit="1" customWidth="1"/>
    <col min="7431" max="7431" width="17.28515625" style="97" bestFit="1" customWidth="1"/>
    <col min="7432" max="7432" width="9.140625" style="97"/>
    <col min="7433" max="7434" width="17.28515625" style="97" bestFit="1" customWidth="1"/>
    <col min="7435" max="7435" width="17.28515625" style="97" customWidth="1"/>
    <col min="7436" max="7436" width="17.28515625" style="97" bestFit="1" customWidth="1"/>
    <col min="7437" max="7679" width="9.140625" style="97"/>
    <col min="7680" max="7680" width="9.5703125" style="97" bestFit="1" customWidth="1"/>
    <col min="7681" max="7681" width="21.85546875" style="97" customWidth="1"/>
    <col min="7682" max="7683" width="6.140625" style="97" bestFit="1" customWidth="1"/>
    <col min="7684" max="7684" width="12.140625" style="97" bestFit="1" customWidth="1"/>
    <col min="7685" max="7685" width="39.7109375" style="97" customWidth="1"/>
    <col min="7686" max="7686" width="16.5703125" style="97" bestFit="1" customWidth="1"/>
    <col min="7687" max="7687" width="17.28515625" style="97" bestFit="1" customWidth="1"/>
    <col min="7688" max="7688" width="9.140625" style="97"/>
    <col min="7689" max="7690" width="17.28515625" style="97" bestFit="1" customWidth="1"/>
    <col min="7691" max="7691" width="17.28515625" style="97" customWidth="1"/>
    <col min="7692" max="7692" width="17.28515625" style="97" bestFit="1" customWidth="1"/>
    <col min="7693" max="7935" width="9.140625" style="97"/>
    <col min="7936" max="7936" width="9.5703125" style="97" bestFit="1" customWidth="1"/>
    <col min="7937" max="7937" width="21.85546875" style="97" customWidth="1"/>
    <col min="7938" max="7939" width="6.140625" style="97" bestFit="1" customWidth="1"/>
    <col min="7940" max="7940" width="12.140625" style="97" bestFit="1" customWidth="1"/>
    <col min="7941" max="7941" width="39.7109375" style="97" customWidth="1"/>
    <col min="7942" max="7942" width="16.5703125" style="97" bestFit="1" customWidth="1"/>
    <col min="7943" max="7943" width="17.28515625" style="97" bestFit="1" customWidth="1"/>
    <col min="7944" max="7944" width="9.140625" style="97"/>
    <col min="7945" max="7946" width="17.28515625" style="97" bestFit="1" customWidth="1"/>
    <col min="7947" max="7947" width="17.28515625" style="97" customWidth="1"/>
    <col min="7948" max="7948" width="17.28515625" style="97" bestFit="1" customWidth="1"/>
    <col min="7949" max="8191" width="9.140625" style="97"/>
    <col min="8192" max="8192" width="9.5703125" style="97" bestFit="1" customWidth="1"/>
    <col min="8193" max="8193" width="21.85546875" style="97" customWidth="1"/>
    <col min="8194" max="8195" width="6.140625" style="97" bestFit="1" customWidth="1"/>
    <col min="8196" max="8196" width="12.140625" style="97" bestFit="1" customWidth="1"/>
    <col min="8197" max="8197" width="39.7109375" style="97" customWidth="1"/>
    <col min="8198" max="8198" width="16.5703125" style="97" bestFit="1" customWidth="1"/>
    <col min="8199" max="8199" width="17.28515625" style="97" bestFit="1" customWidth="1"/>
    <col min="8200" max="8200" width="9.140625" style="97"/>
    <col min="8201" max="8202" width="17.28515625" style="97" bestFit="1" customWidth="1"/>
    <col min="8203" max="8203" width="17.28515625" style="97" customWidth="1"/>
    <col min="8204" max="8204" width="17.28515625" style="97" bestFit="1" customWidth="1"/>
    <col min="8205" max="8447" width="9.140625" style="97"/>
    <col min="8448" max="8448" width="9.5703125" style="97" bestFit="1" customWidth="1"/>
    <col min="8449" max="8449" width="21.85546875" style="97" customWidth="1"/>
    <col min="8450" max="8451" width="6.140625" style="97" bestFit="1" customWidth="1"/>
    <col min="8452" max="8452" width="12.140625" style="97" bestFit="1" customWidth="1"/>
    <col min="8453" max="8453" width="39.7109375" style="97" customWidth="1"/>
    <col min="8454" max="8454" width="16.5703125" style="97" bestFit="1" customWidth="1"/>
    <col min="8455" max="8455" width="17.28515625" style="97" bestFit="1" customWidth="1"/>
    <col min="8456" max="8456" width="9.140625" style="97"/>
    <col min="8457" max="8458" width="17.28515625" style="97" bestFit="1" customWidth="1"/>
    <col min="8459" max="8459" width="17.28515625" style="97" customWidth="1"/>
    <col min="8460" max="8460" width="17.28515625" style="97" bestFit="1" customWidth="1"/>
    <col min="8461" max="8703" width="9.140625" style="97"/>
    <col min="8704" max="8704" width="9.5703125" style="97" bestFit="1" customWidth="1"/>
    <col min="8705" max="8705" width="21.85546875" style="97" customWidth="1"/>
    <col min="8706" max="8707" width="6.140625" style="97" bestFit="1" customWidth="1"/>
    <col min="8708" max="8708" width="12.140625" style="97" bestFit="1" customWidth="1"/>
    <col min="8709" max="8709" width="39.7109375" style="97" customWidth="1"/>
    <col min="8710" max="8710" width="16.5703125" style="97" bestFit="1" customWidth="1"/>
    <col min="8711" max="8711" width="17.28515625" style="97" bestFit="1" customWidth="1"/>
    <col min="8712" max="8712" width="9.140625" style="97"/>
    <col min="8713" max="8714" width="17.28515625" style="97" bestFit="1" customWidth="1"/>
    <col min="8715" max="8715" width="17.28515625" style="97" customWidth="1"/>
    <col min="8716" max="8716" width="17.28515625" style="97" bestFit="1" customWidth="1"/>
    <col min="8717" max="8959" width="9.140625" style="97"/>
    <col min="8960" max="8960" width="9.5703125" style="97" bestFit="1" customWidth="1"/>
    <col min="8961" max="8961" width="21.85546875" style="97" customWidth="1"/>
    <col min="8962" max="8963" width="6.140625" style="97" bestFit="1" customWidth="1"/>
    <col min="8964" max="8964" width="12.140625" style="97" bestFit="1" customWidth="1"/>
    <col min="8965" max="8965" width="39.7109375" style="97" customWidth="1"/>
    <col min="8966" max="8966" width="16.5703125" style="97" bestFit="1" customWidth="1"/>
    <col min="8967" max="8967" width="17.28515625" style="97" bestFit="1" customWidth="1"/>
    <col min="8968" max="8968" width="9.140625" style="97"/>
    <col min="8969" max="8970" width="17.28515625" style="97" bestFit="1" customWidth="1"/>
    <col min="8971" max="8971" width="17.28515625" style="97" customWidth="1"/>
    <col min="8972" max="8972" width="17.28515625" style="97" bestFit="1" customWidth="1"/>
    <col min="8973" max="9215" width="9.140625" style="97"/>
    <col min="9216" max="9216" width="9.5703125" style="97" bestFit="1" customWidth="1"/>
    <col min="9217" max="9217" width="21.85546875" style="97" customWidth="1"/>
    <col min="9218" max="9219" width="6.140625" style="97" bestFit="1" customWidth="1"/>
    <col min="9220" max="9220" width="12.140625" style="97" bestFit="1" customWidth="1"/>
    <col min="9221" max="9221" width="39.7109375" style="97" customWidth="1"/>
    <col min="9222" max="9222" width="16.5703125" style="97" bestFit="1" customWidth="1"/>
    <col min="9223" max="9223" width="17.28515625" style="97" bestFit="1" customWidth="1"/>
    <col min="9224" max="9224" width="9.140625" style="97"/>
    <col min="9225" max="9226" width="17.28515625" style="97" bestFit="1" customWidth="1"/>
    <col min="9227" max="9227" width="17.28515625" style="97" customWidth="1"/>
    <col min="9228" max="9228" width="17.28515625" style="97" bestFit="1" customWidth="1"/>
    <col min="9229" max="9471" width="9.140625" style="97"/>
    <col min="9472" max="9472" width="9.5703125" style="97" bestFit="1" customWidth="1"/>
    <col min="9473" max="9473" width="21.85546875" style="97" customWidth="1"/>
    <col min="9474" max="9475" width="6.140625" style="97" bestFit="1" customWidth="1"/>
    <col min="9476" max="9476" width="12.140625" style="97" bestFit="1" customWidth="1"/>
    <col min="9477" max="9477" width="39.7109375" style="97" customWidth="1"/>
    <col min="9478" max="9478" width="16.5703125" style="97" bestFit="1" customWidth="1"/>
    <col min="9479" max="9479" width="17.28515625" style="97" bestFit="1" customWidth="1"/>
    <col min="9480" max="9480" width="9.140625" style="97"/>
    <col min="9481" max="9482" width="17.28515625" style="97" bestFit="1" customWidth="1"/>
    <col min="9483" max="9483" width="17.28515625" style="97" customWidth="1"/>
    <col min="9484" max="9484" width="17.28515625" style="97" bestFit="1" customWidth="1"/>
    <col min="9485" max="9727" width="9.140625" style="97"/>
    <col min="9728" max="9728" width="9.5703125" style="97" bestFit="1" customWidth="1"/>
    <col min="9729" max="9729" width="21.85546875" style="97" customWidth="1"/>
    <col min="9730" max="9731" width="6.140625" style="97" bestFit="1" customWidth="1"/>
    <col min="9732" max="9732" width="12.140625" style="97" bestFit="1" customWidth="1"/>
    <col min="9733" max="9733" width="39.7109375" style="97" customWidth="1"/>
    <col min="9734" max="9734" width="16.5703125" style="97" bestFit="1" customWidth="1"/>
    <col min="9735" max="9735" width="17.28515625" style="97" bestFit="1" customWidth="1"/>
    <col min="9736" max="9736" width="9.140625" style="97"/>
    <col min="9737" max="9738" width="17.28515625" style="97" bestFit="1" customWidth="1"/>
    <col min="9739" max="9739" width="17.28515625" style="97" customWidth="1"/>
    <col min="9740" max="9740" width="17.28515625" style="97" bestFit="1" customWidth="1"/>
    <col min="9741" max="9983" width="9.140625" style="97"/>
    <col min="9984" max="9984" width="9.5703125" style="97" bestFit="1" customWidth="1"/>
    <col min="9985" max="9985" width="21.85546875" style="97" customWidth="1"/>
    <col min="9986" max="9987" width="6.140625" style="97" bestFit="1" customWidth="1"/>
    <col min="9988" max="9988" width="12.140625" style="97" bestFit="1" customWidth="1"/>
    <col min="9989" max="9989" width="39.7109375" style="97" customWidth="1"/>
    <col min="9990" max="9990" width="16.5703125" style="97" bestFit="1" customWidth="1"/>
    <col min="9991" max="9991" width="17.28515625" style="97" bestFit="1" customWidth="1"/>
    <col min="9992" max="9992" width="9.140625" style="97"/>
    <col min="9993" max="9994" width="17.28515625" style="97" bestFit="1" customWidth="1"/>
    <col min="9995" max="9995" width="17.28515625" style="97" customWidth="1"/>
    <col min="9996" max="9996" width="17.28515625" style="97" bestFit="1" customWidth="1"/>
    <col min="9997" max="10239" width="9.140625" style="97"/>
    <col min="10240" max="10240" width="9.5703125" style="97" bestFit="1" customWidth="1"/>
    <col min="10241" max="10241" width="21.85546875" style="97" customWidth="1"/>
    <col min="10242" max="10243" width="6.140625" style="97" bestFit="1" customWidth="1"/>
    <col min="10244" max="10244" width="12.140625" style="97" bestFit="1" customWidth="1"/>
    <col min="10245" max="10245" width="39.7109375" style="97" customWidth="1"/>
    <col min="10246" max="10246" width="16.5703125" style="97" bestFit="1" customWidth="1"/>
    <col min="10247" max="10247" width="17.28515625" style="97" bestFit="1" customWidth="1"/>
    <col min="10248" max="10248" width="9.140625" style="97"/>
    <col min="10249" max="10250" width="17.28515625" style="97" bestFit="1" customWidth="1"/>
    <col min="10251" max="10251" width="17.28515625" style="97" customWidth="1"/>
    <col min="10252" max="10252" width="17.28515625" style="97" bestFit="1" customWidth="1"/>
    <col min="10253" max="10495" width="9.140625" style="97"/>
    <col min="10496" max="10496" width="9.5703125" style="97" bestFit="1" customWidth="1"/>
    <col min="10497" max="10497" width="21.85546875" style="97" customWidth="1"/>
    <col min="10498" max="10499" width="6.140625" style="97" bestFit="1" customWidth="1"/>
    <col min="10500" max="10500" width="12.140625" style="97" bestFit="1" customWidth="1"/>
    <col min="10501" max="10501" width="39.7109375" style="97" customWidth="1"/>
    <col min="10502" max="10502" width="16.5703125" style="97" bestFit="1" customWidth="1"/>
    <col min="10503" max="10503" width="17.28515625" style="97" bestFit="1" customWidth="1"/>
    <col min="10504" max="10504" width="9.140625" style="97"/>
    <col min="10505" max="10506" width="17.28515625" style="97" bestFit="1" customWidth="1"/>
    <col min="10507" max="10507" width="17.28515625" style="97" customWidth="1"/>
    <col min="10508" max="10508" width="17.28515625" style="97" bestFit="1" customWidth="1"/>
    <col min="10509" max="10751" width="9.140625" style="97"/>
    <col min="10752" max="10752" width="9.5703125" style="97" bestFit="1" customWidth="1"/>
    <col min="10753" max="10753" width="21.85546875" style="97" customWidth="1"/>
    <col min="10754" max="10755" width="6.140625" style="97" bestFit="1" customWidth="1"/>
    <col min="10756" max="10756" width="12.140625" style="97" bestFit="1" customWidth="1"/>
    <col min="10757" max="10757" width="39.7109375" style="97" customWidth="1"/>
    <col min="10758" max="10758" width="16.5703125" style="97" bestFit="1" customWidth="1"/>
    <col min="10759" max="10759" width="17.28515625" style="97" bestFit="1" customWidth="1"/>
    <col min="10760" max="10760" width="9.140625" style="97"/>
    <col min="10761" max="10762" width="17.28515625" style="97" bestFit="1" customWidth="1"/>
    <col min="10763" max="10763" width="17.28515625" style="97" customWidth="1"/>
    <col min="10764" max="10764" width="17.28515625" style="97" bestFit="1" customWidth="1"/>
    <col min="10765" max="11007" width="9.140625" style="97"/>
    <col min="11008" max="11008" width="9.5703125" style="97" bestFit="1" customWidth="1"/>
    <col min="11009" max="11009" width="21.85546875" style="97" customWidth="1"/>
    <col min="11010" max="11011" width="6.140625" style="97" bestFit="1" customWidth="1"/>
    <col min="11012" max="11012" width="12.140625" style="97" bestFit="1" customWidth="1"/>
    <col min="11013" max="11013" width="39.7109375" style="97" customWidth="1"/>
    <col min="11014" max="11014" width="16.5703125" style="97" bestFit="1" customWidth="1"/>
    <col min="11015" max="11015" width="17.28515625" style="97" bestFit="1" customWidth="1"/>
    <col min="11016" max="11016" width="9.140625" style="97"/>
    <col min="11017" max="11018" width="17.28515625" style="97" bestFit="1" customWidth="1"/>
    <col min="11019" max="11019" width="17.28515625" style="97" customWidth="1"/>
    <col min="11020" max="11020" width="17.28515625" style="97" bestFit="1" customWidth="1"/>
    <col min="11021" max="11263" width="9.140625" style="97"/>
    <col min="11264" max="11264" width="9.5703125" style="97" bestFit="1" customWidth="1"/>
    <col min="11265" max="11265" width="21.85546875" style="97" customWidth="1"/>
    <col min="11266" max="11267" width="6.140625" style="97" bestFit="1" customWidth="1"/>
    <col min="11268" max="11268" width="12.140625" style="97" bestFit="1" customWidth="1"/>
    <col min="11269" max="11269" width="39.7109375" style="97" customWidth="1"/>
    <col min="11270" max="11270" width="16.5703125" style="97" bestFit="1" customWidth="1"/>
    <col min="11271" max="11271" width="17.28515625" style="97" bestFit="1" customWidth="1"/>
    <col min="11272" max="11272" width="9.140625" style="97"/>
    <col min="11273" max="11274" width="17.28515625" style="97" bestFit="1" customWidth="1"/>
    <col min="11275" max="11275" width="17.28515625" style="97" customWidth="1"/>
    <col min="11276" max="11276" width="17.28515625" style="97" bestFit="1" customWidth="1"/>
    <col min="11277" max="11519" width="9.140625" style="97"/>
    <col min="11520" max="11520" width="9.5703125" style="97" bestFit="1" customWidth="1"/>
    <col min="11521" max="11521" width="21.85546875" style="97" customWidth="1"/>
    <col min="11522" max="11523" width="6.140625" style="97" bestFit="1" customWidth="1"/>
    <col min="11524" max="11524" width="12.140625" style="97" bestFit="1" customWidth="1"/>
    <col min="11525" max="11525" width="39.7109375" style="97" customWidth="1"/>
    <col min="11526" max="11526" width="16.5703125" style="97" bestFit="1" customWidth="1"/>
    <col min="11527" max="11527" width="17.28515625" style="97" bestFit="1" customWidth="1"/>
    <col min="11528" max="11528" width="9.140625" style="97"/>
    <col min="11529" max="11530" width="17.28515625" style="97" bestFit="1" customWidth="1"/>
    <col min="11531" max="11531" width="17.28515625" style="97" customWidth="1"/>
    <col min="11532" max="11532" width="17.28515625" style="97" bestFit="1" customWidth="1"/>
    <col min="11533" max="11775" width="9.140625" style="97"/>
    <col min="11776" max="11776" width="9.5703125" style="97" bestFit="1" customWidth="1"/>
    <col min="11777" max="11777" width="21.85546875" style="97" customWidth="1"/>
    <col min="11778" max="11779" width="6.140625" style="97" bestFit="1" customWidth="1"/>
    <col min="11780" max="11780" width="12.140625" style="97" bestFit="1" customWidth="1"/>
    <col min="11781" max="11781" width="39.7109375" style="97" customWidth="1"/>
    <col min="11782" max="11782" width="16.5703125" style="97" bestFit="1" customWidth="1"/>
    <col min="11783" max="11783" width="17.28515625" style="97" bestFit="1" customWidth="1"/>
    <col min="11784" max="11784" width="9.140625" style="97"/>
    <col min="11785" max="11786" width="17.28515625" style="97" bestFit="1" customWidth="1"/>
    <col min="11787" max="11787" width="17.28515625" style="97" customWidth="1"/>
    <col min="11788" max="11788" width="17.28515625" style="97" bestFit="1" customWidth="1"/>
    <col min="11789" max="12031" width="9.140625" style="97"/>
    <col min="12032" max="12032" width="9.5703125" style="97" bestFit="1" customWidth="1"/>
    <col min="12033" max="12033" width="21.85546875" style="97" customWidth="1"/>
    <col min="12034" max="12035" width="6.140625" style="97" bestFit="1" customWidth="1"/>
    <col min="12036" max="12036" width="12.140625" style="97" bestFit="1" customWidth="1"/>
    <col min="12037" max="12037" width="39.7109375" style="97" customWidth="1"/>
    <col min="12038" max="12038" width="16.5703125" style="97" bestFit="1" customWidth="1"/>
    <col min="12039" max="12039" width="17.28515625" style="97" bestFit="1" customWidth="1"/>
    <col min="12040" max="12040" width="9.140625" style="97"/>
    <col min="12041" max="12042" width="17.28515625" style="97" bestFit="1" customWidth="1"/>
    <col min="12043" max="12043" width="17.28515625" style="97" customWidth="1"/>
    <col min="12044" max="12044" width="17.28515625" style="97" bestFit="1" customWidth="1"/>
    <col min="12045" max="12287" width="9.140625" style="97"/>
    <col min="12288" max="12288" width="9.5703125" style="97" bestFit="1" customWidth="1"/>
    <col min="12289" max="12289" width="21.85546875" style="97" customWidth="1"/>
    <col min="12290" max="12291" width="6.140625" style="97" bestFit="1" customWidth="1"/>
    <col min="12292" max="12292" width="12.140625" style="97" bestFit="1" customWidth="1"/>
    <col min="12293" max="12293" width="39.7109375" style="97" customWidth="1"/>
    <col min="12294" max="12294" width="16.5703125" style="97" bestFit="1" customWidth="1"/>
    <col min="12295" max="12295" width="17.28515625" style="97" bestFit="1" customWidth="1"/>
    <col min="12296" max="12296" width="9.140625" style="97"/>
    <col min="12297" max="12298" width="17.28515625" style="97" bestFit="1" customWidth="1"/>
    <col min="12299" max="12299" width="17.28515625" style="97" customWidth="1"/>
    <col min="12300" max="12300" width="17.28515625" style="97" bestFit="1" customWidth="1"/>
    <col min="12301" max="12543" width="9.140625" style="97"/>
    <col min="12544" max="12544" width="9.5703125" style="97" bestFit="1" customWidth="1"/>
    <col min="12545" max="12545" width="21.85546875" style="97" customWidth="1"/>
    <col min="12546" max="12547" width="6.140625" style="97" bestFit="1" customWidth="1"/>
    <col min="12548" max="12548" width="12.140625" style="97" bestFit="1" customWidth="1"/>
    <col min="12549" max="12549" width="39.7109375" style="97" customWidth="1"/>
    <col min="12550" max="12550" width="16.5703125" style="97" bestFit="1" customWidth="1"/>
    <col min="12551" max="12551" width="17.28515625" style="97" bestFit="1" customWidth="1"/>
    <col min="12552" max="12552" width="9.140625" style="97"/>
    <col min="12553" max="12554" width="17.28515625" style="97" bestFit="1" customWidth="1"/>
    <col min="12555" max="12555" width="17.28515625" style="97" customWidth="1"/>
    <col min="12556" max="12556" width="17.28515625" style="97" bestFit="1" customWidth="1"/>
    <col min="12557" max="12799" width="9.140625" style="97"/>
    <col min="12800" max="12800" width="9.5703125" style="97" bestFit="1" customWidth="1"/>
    <col min="12801" max="12801" width="21.85546875" style="97" customWidth="1"/>
    <col min="12802" max="12803" width="6.140625" style="97" bestFit="1" customWidth="1"/>
    <col min="12804" max="12804" width="12.140625" style="97" bestFit="1" customWidth="1"/>
    <col min="12805" max="12805" width="39.7109375" style="97" customWidth="1"/>
    <col min="12806" max="12806" width="16.5703125" style="97" bestFit="1" customWidth="1"/>
    <col min="12807" max="12807" width="17.28515625" style="97" bestFit="1" customWidth="1"/>
    <col min="12808" max="12808" width="9.140625" style="97"/>
    <col min="12809" max="12810" width="17.28515625" style="97" bestFit="1" customWidth="1"/>
    <col min="12811" max="12811" width="17.28515625" style="97" customWidth="1"/>
    <col min="12812" max="12812" width="17.28515625" style="97" bestFit="1" customWidth="1"/>
    <col min="12813" max="13055" width="9.140625" style="97"/>
    <col min="13056" max="13056" width="9.5703125" style="97" bestFit="1" customWidth="1"/>
    <col min="13057" max="13057" width="21.85546875" style="97" customWidth="1"/>
    <col min="13058" max="13059" width="6.140625" style="97" bestFit="1" customWidth="1"/>
    <col min="13060" max="13060" width="12.140625" style="97" bestFit="1" customWidth="1"/>
    <col min="13061" max="13061" width="39.7109375" style="97" customWidth="1"/>
    <col min="13062" max="13062" width="16.5703125" style="97" bestFit="1" customWidth="1"/>
    <col min="13063" max="13063" width="17.28515625" style="97" bestFit="1" customWidth="1"/>
    <col min="13064" max="13064" width="9.140625" style="97"/>
    <col min="13065" max="13066" width="17.28515625" style="97" bestFit="1" customWidth="1"/>
    <col min="13067" max="13067" width="17.28515625" style="97" customWidth="1"/>
    <col min="13068" max="13068" width="17.28515625" style="97" bestFit="1" customWidth="1"/>
    <col min="13069" max="13311" width="9.140625" style="97"/>
    <col min="13312" max="13312" width="9.5703125" style="97" bestFit="1" customWidth="1"/>
    <col min="13313" max="13313" width="21.85546875" style="97" customWidth="1"/>
    <col min="13314" max="13315" width="6.140625" style="97" bestFit="1" customWidth="1"/>
    <col min="13316" max="13316" width="12.140625" style="97" bestFit="1" customWidth="1"/>
    <col min="13317" max="13317" width="39.7109375" style="97" customWidth="1"/>
    <col min="13318" max="13318" width="16.5703125" style="97" bestFit="1" customWidth="1"/>
    <col min="13319" max="13319" width="17.28515625" style="97" bestFit="1" customWidth="1"/>
    <col min="13320" max="13320" width="9.140625" style="97"/>
    <col min="13321" max="13322" width="17.28515625" style="97" bestFit="1" customWidth="1"/>
    <col min="13323" max="13323" width="17.28515625" style="97" customWidth="1"/>
    <col min="13324" max="13324" width="17.28515625" style="97" bestFit="1" customWidth="1"/>
    <col min="13325" max="13567" width="9.140625" style="97"/>
    <col min="13568" max="13568" width="9.5703125" style="97" bestFit="1" customWidth="1"/>
    <col min="13569" max="13569" width="21.85546875" style="97" customWidth="1"/>
    <col min="13570" max="13571" width="6.140625" style="97" bestFit="1" customWidth="1"/>
    <col min="13572" max="13572" width="12.140625" style="97" bestFit="1" customWidth="1"/>
    <col min="13573" max="13573" width="39.7109375" style="97" customWidth="1"/>
    <col min="13574" max="13574" width="16.5703125" style="97" bestFit="1" customWidth="1"/>
    <col min="13575" max="13575" width="17.28515625" style="97" bestFit="1" customWidth="1"/>
    <col min="13576" max="13576" width="9.140625" style="97"/>
    <col min="13577" max="13578" width="17.28515625" style="97" bestFit="1" customWidth="1"/>
    <col min="13579" max="13579" width="17.28515625" style="97" customWidth="1"/>
    <col min="13580" max="13580" width="17.28515625" style="97" bestFit="1" customWidth="1"/>
    <col min="13581" max="13823" width="9.140625" style="97"/>
    <col min="13824" max="13824" width="9.5703125" style="97" bestFit="1" customWidth="1"/>
    <col min="13825" max="13825" width="21.85546875" style="97" customWidth="1"/>
    <col min="13826" max="13827" width="6.140625" style="97" bestFit="1" customWidth="1"/>
    <col min="13828" max="13828" width="12.140625" style="97" bestFit="1" customWidth="1"/>
    <col min="13829" max="13829" width="39.7109375" style="97" customWidth="1"/>
    <col min="13830" max="13830" width="16.5703125" style="97" bestFit="1" customWidth="1"/>
    <col min="13831" max="13831" width="17.28515625" style="97" bestFit="1" customWidth="1"/>
    <col min="13832" max="13832" width="9.140625" style="97"/>
    <col min="13833" max="13834" width="17.28515625" style="97" bestFit="1" customWidth="1"/>
    <col min="13835" max="13835" width="17.28515625" style="97" customWidth="1"/>
    <col min="13836" max="13836" width="17.28515625" style="97" bestFit="1" customWidth="1"/>
    <col min="13837" max="14079" width="9.140625" style="97"/>
    <col min="14080" max="14080" width="9.5703125" style="97" bestFit="1" customWidth="1"/>
    <col min="14081" max="14081" width="21.85546875" style="97" customWidth="1"/>
    <col min="14082" max="14083" width="6.140625" style="97" bestFit="1" customWidth="1"/>
    <col min="14084" max="14084" width="12.140625" style="97" bestFit="1" customWidth="1"/>
    <col min="14085" max="14085" width="39.7109375" style="97" customWidth="1"/>
    <col min="14086" max="14086" width="16.5703125" style="97" bestFit="1" customWidth="1"/>
    <col min="14087" max="14087" width="17.28515625" style="97" bestFit="1" customWidth="1"/>
    <col min="14088" max="14088" width="9.140625" style="97"/>
    <col min="14089" max="14090" width="17.28515625" style="97" bestFit="1" customWidth="1"/>
    <col min="14091" max="14091" width="17.28515625" style="97" customWidth="1"/>
    <col min="14092" max="14092" width="17.28515625" style="97" bestFit="1" customWidth="1"/>
    <col min="14093" max="14335" width="9.140625" style="97"/>
    <col min="14336" max="14336" width="9.5703125" style="97" bestFit="1" customWidth="1"/>
    <col min="14337" max="14337" width="21.85546875" style="97" customWidth="1"/>
    <col min="14338" max="14339" width="6.140625" style="97" bestFit="1" customWidth="1"/>
    <col min="14340" max="14340" width="12.140625" style="97" bestFit="1" customWidth="1"/>
    <col min="14341" max="14341" width="39.7109375" style="97" customWidth="1"/>
    <col min="14342" max="14342" width="16.5703125" style="97" bestFit="1" customWidth="1"/>
    <col min="14343" max="14343" width="17.28515625" style="97" bestFit="1" customWidth="1"/>
    <col min="14344" max="14344" width="9.140625" style="97"/>
    <col min="14345" max="14346" width="17.28515625" style="97" bestFit="1" customWidth="1"/>
    <col min="14347" max="14347" width="17.28515625" style="97" customWidth="1"/>
    <col min="14348" max="14348" width="17.28515625" style="97" bestFit="1" customWidth="1"/>
    <col min="14349" max="14591" width="9.140625" style="97"/>
    <col min="14592" max="14592" width="9.5703125" style="97" bestFit="1" customWidth="1"/>
    <col min="14593" max="14593" width="21.85546875" style="97" customWidth="1"/>
    <col min="14594" max="14595" width="6.140625" style="97" bestFit="1" customWidth="1"/>
    <col min="14596" max="14596" width="12.140625" style="97" bestFit="1" customWidth="1"/>
    <col min="14597" max="14597" width="39.7109375" style="97" customWidth="1"/>
    <col min="14598" max="14598" width="16.5703125" style="97" bestFit="1" customWidth="1"/>
    <col min="14599" max="14599" width="17.28515625" style="97" bestFit="1" customWidth="1"/>
    <col min="14600" max="14600" width="9.140625" style="97"/>
    <col min="14601" max="14602" width="17.28515625" style="97" bestFit="1" customWidth="1"/>
    <col min="14603" max="14603" width="17.28515625" style="97" customWidth="1"/>
    <col min="14604" max="14604" width="17.28515625" style="97" bestFit="1" customWidth="1"/>
    <col min="14605" max="14847" width="9.140625" style="97"/>
    <col min="14848" max="14848" width="9.5703125" style="97" bestFit="1" customWidth="1"/>
    <col min="14849" max="14849" width="21.85546875" style="97" customWidth="1"/>
    <col min="14850" max="14851" width="6.140625" style="97" bestFit="1" customWidth="1"/>
    <col min="14852" max="14852" width="12.140625" style="97" bestFit="1" customWidth="1"/>
    <col min="14853" max="14853" width="39.7109375" style="97" customWidth="1"/>
    <col min="14854" max="14854" width="16.5703125" style="97" bestFit="1" customWidth="1"/>
    <col min="14855" max="14855" width="17.28515625" style="97" bestFit="1" customWidth="1"/>
    <col min="14856" max="14856" width="9.140625" style="97"/>
    <col min="14857" max="14858" width="17.28515625" style="97" bestFit="1" customWidth="1"/>
    <col min="14859" max="14859" width="17.28515625" style="97" customWidth="1"/>
    <col min="14860" max="14860" width="17.28515625" style="97" bestFit="1" customWidth="1"/>
    <col min="14861" max="15103" width="9.140625" style="97"/>
    <col min="15104" max="15104" width="9.5703125" style="97" bestFit="1" customWidth="1"/>
    <col min="15105" max="15105" width="21.85546875" style="97" customWidth="1"/>
    <col min="15106" max="15107" width="6.140625" style="97" bestFit="1" customWidth="1"/>
    <col min="15108" max="15108" width="12.140625" style="97" bestFit="1" customWidth="1"/>
    <col min="15109" max="15109" width="39.7109375" style="97" customWidth="1"/>
    <col min="15110" max="15110" width="16.5703125" style="97" bestFit="1" customWidth="1"/>
    <col min="15111" max="15111" width="17.28515625" style="97" bestFit="1" customWidth="1"/>
    <col min="15112" max="15112" width="9.140625" style="97"/>
    <col min="15113" max="15114" width="17.28515625" style="97" bestFit="1" customWidth="1"/>
    <col min="15115" max="15115" width="17.28515625" style="97" customWidth="1"/>
    <col min="15116" max="15116" width="17.28515625" style="97" bestFit="1" customWidth="1"/>
    <col min="15117" max="15359" width="9.140625" style="97"/>
    <col min="15360" max="15360" width="9.5703125" style="97" bestFit="1" customWidth="1"/>
    <col min="15361" max="15361" width="21.85546875" style="97" customWidth="1"/>
    <col min="15362" max="15363" width="6.140625" style="97" bestFit="1" customWidth="1"/>
    <col min="15364" max="15364" width="12.140625" style="97" bestFit="1" customWidth="1"/>
    <col min="15365" max="15365" width="39.7109375" style="97" customWidth="1"/>
    <col min="15366" max="15366" width="16.5703125" style="97" bestFit="1" customWidth="1"/>
    <col min="15367" max="15367" width="17.28515625" style="97" bestFit="1" customWidth="1"/>
    <col min="15368" max="15368" width="9.140625" style="97"/>
    <col min="15369" max="15370" width="17.28515625" style="97" bestFit="1" customWidth="1"/>
    <col min="15371" max="15371" width="17.28515625" style="97" customWidth="1"/>
    <col min="15372" max="15372" width="17.28515625" style="97" bestFit="1" customWidth="1"/>
    <col min="15373" max="15615" width="9.140625" style="97"/>
    <col min="15616" max="15616" width="9.5703125" style="97" bestFit="1" customWidth="1"/>
    <col min="15617" max="15617" width="21.85546875" style="97" customWidth="1"/>
    <col min="15618" max="15619" width="6.140625" style="97" bestFit="1" customWidth="1"/>
    <col min="15620" max="15620" width="12.140625" style="97" bestFit="1" customWidth="1"/>
    <col min="15621" max="15621" width="39.7109375" style="97" customWidth="1"/>
    <col min="15622" max="15622" width="16.5703125" style="97" bestFit="1" customWidth="1"/>
    <col min="15623" max="15623" width="17.28515625" style="97" bestFit="1" customWidth="1"/>
    <col min="15624" max="15624" width="9.140625" style="97"/>
    <col min="15625" max="15626" width="17.28515625" style="97" bestFit="1" customWidth="1"/>
    <col min="15627" max="15627" width="17.28515625" style="97" customWidth="1"/>
    <col min="15628" max="15628" width="17.28515625" style="97" bestFit="1" customWidth="1"/>
    <col min="15629" max="15871" width="9.140625" style="97"/>
    <col min="15872" max="15872" width="9.5703125" style="97" bestFit="1" customWidth="1"/>
    <col min="15873" max="15873" width="21.85546875" style="97" customWidth="1"/>
    <col min="15874" max="15875" width="6.140625" style="97" bestFit="1" customWidth="1"/>
    <col min="15876" max="15876" width="12.140625" style="97" bestFit="1" customWidth="1"/>
    <col min="15877" max="15877" width="39.7109375" style="97" customWidth="1"/>
    <col min="15878" max="15878" width="16.5703125" style="97" bestFit="1" customWidth="1"/>
    <col min="15879" max="15879" width="17.28515625" style="97" bestFit="1" customWidth="1"/>
    <col min="15880" max="15880" width="9.140625" style="97"/>
    <col min="15881" max="15882" width="17.28515625" style="97" bestFit="1" customWidth="1"/>
    <col min="15883" max="15883" width="17.28515625" style="97" customWidth="1"/>
    <col min="15884" max="15884" width="17.28515625" style="97" bestFit="1" customWidth="1"/>
    <col min="15885" max="16127" width="9.140625" style="97"/>
    <col min="16128" max="16128" width="9.5703125" style="97" bestFit="1" customWidth="1"/>
    <col min="16129" max="16129" width="21.85546875" style="97" customWidth="1"/>
    <col min="16130" max="16131" width="6.140625" style="97" bestFit="1" customWidth="1"/>
    <col min="16132" max="16132" width="12.140625" style="97" bestFit="1" customWidth="1"/>
    <col min="16133" max="16133" width="39.7109375" style="97" customWidth="1"/>
    <col min="16134" max="16134" width="16.5703125" style="97" bestFit="1" customWidth="1"/>
    <col min="16135" max="16135" width="17.28515625" style="97" bestFit="1" customWidth="1"/>
    <col min="16136" max="16136" width="9.140625" style="97"/>
    <col min="16137" max="16138" width="17.28515625" style="97" bestFit="1" customWidth="1"/>
    <col min="16139" max="16139" width="17.28515625" style="97" customWidth="1"/>
    <col min="16140" max="16140" width="17.28515625" style="97" bestFit="1" customWidth="1"/>
    <col min="16141" max="16384" width="9.140625" style="97"/>
  </cols>
  <sheetData>
    <row r="1" spans="1:12" hidden="1" x14ac:dyDescent="0.2"/>
    <row r="2" spans="1:12" ht="20.25" x14ac:dyDescent="0.2">
      <c r="A2" s="135" t="s">
        <v>502</v>
      </c>
      <c r="B2" s="135"/>
      <c r="C2" s="135"/>
      <c r="D2" s="135"/>
      <c r="E2" s="135"/>
      <c r="F2" s="135"/>
      <c r="G2" s="135"/>
      <c r="J2" s="97"/>
      <c r="K2" s="97"/>
      <c r="L2" s="97"/>
    </row>
    <row r="3" spans="1:12" hidden="1" x14ac:dyDescent="0.2"/>
    <row r="4" spans="1:12" s="105" customFormat="1" ht="33.75" x14ac:dyDescent="0.2">
      <c r="A4" s="101" t="s">
        <v>0</v>
      </c>
      <c r="B4" s="102" t="s">
        <v>1</v>
      </c>
      <c r="C4" s="102" t="s">
        <v>2</v>
      </c>
      <c r="D4" s="103" t="s">
        <v>3</v>
      </c>
      <c r="E4" s="104" t="s">
        <v>4</v>
      </c>
      <c r="F4" s="103" t="s">
        <v>5</v>
      </c>
      <c r="G4" s="103" t="s">
        <v>489</v>
      </c>
      <c r="I4" s="103" t="s">
        <v>490</v>
      </c>
      <c r="J4" s="103" t="s">
        <v>491</v>
      </c>
      <c r="K4" s="103" t="s">
        <v>492</v>
      </c>
      <c r="L4" s="103" t="s">
        <v>493</v>
      </c>
    </row>
    <row r="6" spans="1:12" x14ac:dyDescent="0.2">
      <c r="A6" s="106">
        <v>100</v>
      </c>
      <c r="B6" s="107" t="s">
        <v>6</v>
      </c>
      <c r="C6" s="106">
        <v>3314</v>
      </c>
      <c r="D6" s="106">
        <v>5011</v>
      </c>
      <c r="E6" s="108">
        <v>3314000000001</v>
      </c>
      <c r="F6" s="109" t="s">
        <v>51</v>
      </c>
      <c r="G6" s="96">
        <v>390</v>
      </c>
      <c r="I6" s="96">
        <v>390</v>
      </c>
      <c r="J6" s="96">
        <v>299.00099999999998</v>
      </c>
      <c r="K6" s="96">
        <v>405.58199999999999</v>
      </c>
      <c r="L6" s="96">
        <v>361.245</v>
      </c>
    </row>
    <row r="7" spans="1:12" x14ac:dyDescent="0.2">
      <c r="A7" s="106">
        <v>100</v>
      </c>
      <c r="B7" s="107" t="s">
        <v>6</v>
      </c>
      <c r="C7" s="106">
        <v>3314</v>
      </c>
      <c r="D7" s="106">
        <v>5021</v>
      </c>
      <c r="E7" s="108">
        <v>3314000000001</v>
      </c>
      <c r="F7" s="109" t="s">
        <v>52</v>
      </c>
      <c r="G7" s="96">
        <v>30</v>
      </c>
      <c r="I7" s="96">
        <v>30</v>
      </c>
      <c r="J7" s="96">
        <v>13.435</v>
      </c>
      <c r="K7" s="96">
        <v>15.564</v>
      </c>
      <c r="L7" s="96">
        <v>33.015999999999998</v>
      </c>
    </row>
    <row r="8" spans="1:12" x14ac:dyDescent="0.2">
      <c r="A8" s="106">
        <v>100</v>
      </c>
      <c r="B8" s="107" t="s">
        <v>6</v>
      </c>
      <c r="C8" s="106">
        <v>3314</v>
      </c>
      <c r="D8" s="106">
        <v>5031</v>
      </c>
      <c r="E8" s="108">
        <v>3314000000001</v>
      </c>
      <c r="F8" s="109" t="s">
        <v>295</v>
      </c>
      <c r="G8" s="96">
        <v>97</v>
      </c>
      <c r="I8" s="96">
        <v>97</v>
      </c>
      <c r="J8" s="96">
        <v>74.150000000000006</v>
      </c>
      <c r="K8" s="96">
        <v>100.583</v>
      </c>
      <c r="L8" s="96">
        <v>90.932000000000002</v>
      </c>
    </row>
    <row r="9" spans="1:12" x14ac:dyDescent="0.2">
      <c r="A9" s="106">
        <v>100</v>
      </c>
      <c r="B9" s="107" t="s">
        <v>6</v>
      </c>
      <c r="C9" s="106">
        <v>3314</v>
      </c>
      <c r="D9" s="106">
        <v>5032</v>
      </c>
      <c r="E9" s="108">
        <v>3314000000001</v>
      </c>
      <c r="F9" s="109" t="s">
        <v>69</v>
      </c>
      <c r="G9" s="96">
        <v>36</v>
      </c>
      <c r="I9" s="96">
        <v>35</v>
      </c>
      <c r="J9" s="96">
        <v>26.908999999999999</v>
      </c>
      <c r="K9" s="96">
        <v>36.500999999999998</v>
      </c>
      <c r="L9" s="96">
        <v>32.823999999999998</v>
      </c>
    </row>
    <row r="10" spans="1:12" x14ac:dyDescent="0.2">
      <c r="A10" s="106">
        <v>100</v>
      </c>
      <c r="B10" s="107" t="s">
        <v>6</v>
      </c>
      <c r="C10" s="106">
        <v>3314</v>
      </c>
      <c r="D10" s="106">
        <v>5136</v>
      </c>
      <c r="E10" s="108">
        <v>3314000000001</v>
      </c>
      <c r="F10" s="109" t="s">
        <v>8</v>
      </c>
      <c r="G10" s="96">
        <v>110</v>
      </c>
      <c r="I10" s="96">
        <v>110</v>
      </c>
      <c r="J10" s="96">
        <v>70.167000000000002</v>
      </c>
      <c r="K10" s="96">
        <v>105.944</v>
      </c>
      <c r="L10" s="96">
        <v>87.992999999999995</v>
      </c>
    </row>
    <row r="11" spans="1:12" x14ac:dyDescent="0.2">
      <c r="A11" s="106">
        <v>100</v>
      </c>
      <c r="B11" s="107" t="s">
        <v>6</v>
      </c>
      <c r="C11" s="106">
        <v>3314</v>
      </c>
      <c r="D11" s="106">
        <v>5137</v>
      </c>
      <c r="E11" s="108">
        <v>3314000000001</v>
      </c>
      <c r="F11" s="109" t="s">
        <v>34</v>
      </c>
      <c r="G11" s="96">
        <v>3</v>
      </c>
      <c r="I11" s="96">
        <v>3</v>
      </c>
      <c r="J11" s="96">
        <v>0</v>
      </c>
      <c r="K11" s="96">
        <v>0</v>
      </c>
      <c r="L11" s="96"/>
    </row>
    <row r="12" spans="1:12" x14ac:dyDescent="0.2">
      <c r="A12" s="106">
        <v>100</v>
      </c>
      <c r="B12" s="107" t="s">
        <v>6</v>
      </c>
      <c r="C12" s="106">
        <v>3314</v>
      </c>
      <c r="D12" s="106">
        <v>5139</v>
      </c>
      <c r="E12" s="108">
        <v>3314000000001</v>
      </c>
      <c r="F12" s="109" t="s">
        <v>9</v>
      </c>
      <c r="G12" s="96">
        <v>5</v>
      </c>
      <c r="I12" s="96">
        <v>5</v>
      </c>
      <c r="J12" s="96">
        <v>1.1879999999999999</v>
      </c>
      <c r="K12" s="96">
        <v>0.14000000000000001</v>
      </c>
      <c r="L12" s="96">
        <v>2.3889999999999998</v>
      </c>
    </row>
    <row r="13" spans="1:12" x14ac:dyDescent="0.2">
      <c r="A13" s="106">
        <v>100</v>
      </c>
      <c r="B13" s="107" t="s">
        <v>6</v>
      </c>
      <c r="C13" s="106">
        <v>3314</v>
      </c>
      <c r="D13" s="106">
        <v>5161</v>
      </c>
      <c r="E13" s="108">
        <v>3314000000001</v>
      </c>
      <c r="F13" s="109" t="s">
        <v>11</v>
      </c>
      <c r="G13" s="96">
        <v>2</v>
      </c>
      <c r="I13" s="96">
        <v>1.5</v>
      </c>
      <c r="J13" s="96">
        <v>0.28000000000000003</v>
      </c>
      <c r="K13" s="96">
        <v>0.751</v>
      </c>
      <c r="L13" s="96">
        <v>0.43</v>
      </c>
    </row>
    <row r="14" spans="1:12" x14ac:dyDescent="0.2">
      <c r="A14" s="106">
        <v>100</v>
      </c>
      <c r="B14" s="107" t="s">
        <v>6</v>
      </c>
      <c r="C14" s="106">
        <v>3314</v>
      </c>
      <c r="D14" s="106">
        <v>5169</v>
      </c>
      <c r="E14" s="108">
        <v>3314000000001</v>
      </c>
      <c r="F14" s="109" t="s">
        <v>12</v>
      </c>
      <c r="G14" s="96">
        <v>5</v>
      </c>
      <c r="I14" s="96">
        <v>5</v>
      </c>
      <c r="J14" s="96">
        <v>0</v>
      </c>
      <c r="K14" s="96">
        <v>0</v>
      </c>
      <c r="L14" s="96">
        <v>7.0659999999999998</v>
      </c>
    </row>
    <row r="15" spans="1:12" x14ac:dyDescent="0.2">
      <c r="A15" s="106">
        <v>100</v>
      </c>
      <c r="B15" s="107" t="s">
        <v>6</v>
      </c>
      <c r="C15" s="106">
        <v>3314</v>
      </c>
      <c r="D15" s="106">
        <v>5171</v>
      </c>
      <c r="E15" s="108">
        <v>3314000000001</v>
      </c>
      <c r="F15" s="109" t="s">
        <v>118</v>
      </c>
      <c r="G15" s="96">
        <v>20</v>
      </c>
      <c r="I15" s="96">
        <v>20</v>
      </c>
      <c r="J15" s="96">
        <v>0</v>
      </c>
      <c r="K15" s="96">
        <v>0</v>
      </c>
      <c r="L15" s="96"/>
    </row>
    <row r="16" spans="1:12" x14ac:dyDescent="0.2">
      <c r="A16" s="106">
        <v>100</v>
      </c>
      <c r="B16" s="107" t="s">
        <v>6</v>
      </c>
      <c r="C16" s="106">
        <v>3314</v>
      </c>
      <c r="D16" s="106">
        <v>5173</v>
      </c>
      <c r="E16" s="108">
        <v>3314000000001</v>
      </c>
      <c r="F16" s="109" t="s">
        <v>14</v>
      </c>
      <c r="G16" s="96">
        <v>1</v>
      </c>
      <c r="I16" s="96">
        <v>1</v>
      </c>
      <c r="J16" s="96">
        <v>0.36199999999999999</v>
      </c>
      <c r="K16" s="96">
        <v>0.36199999999999999</v>
      </c>
      <c r="L16" s="96">
        <v>0.28199999999999997</v>
      </c>
    </row>
    <row r="17" spans="1:12" x14ac:dyDescent="0.2">
      <c r="A17" s="106">
        <v>100</v>
      </c>
      <c r="B17" s="107" t="s">
        <v>6</v>
      </c>
      <c r="C17" s="106">
        <v>3314</v>
      </c>
      <c r="D17" s="106">
        <v>5175</v>
      </c>
      <c r="E17" s="108">
        <v>3314000000001</v>
      </c>
      <c r="F17" s="109" t="s">
        <v>15</v>
      </c>
      <c r="G17" s="96">
        <v>3</v>
      </c>
      <c r="I17" s="96">
        <v>3</v>
      </c>
      <c r="J17" s="96">
        <v>0</v>
      </c>
      <c r="K17" s="96">
        <v>0.23</v>
      </c>
      <c r="L17" s="96">
        <v>0.97399999999999998</v>
      </c>
    </row>
    <row r="18" spans="1:12" x14ac:dyDescent="0.2">
      <c r="A18" s="106">
        <v>100</v>
      </c>
      <c r="B18" s="107" t="s">
        <v>6</v>
      </c>
      <c r="C18" s="106">
        <v>3314</v>
      </c>
      <c r="D18" s="106">
        <v>5494</v>
      </c>
      <c r="E18" s="108">
        <v>3314000000001</v>
      </c>
      <c r="F18" s="109" t="s">
        <v>16</v>
      </c>
      <c r="G18" s="96">
        <v>3</v>
      </c>
      <c r="I18" s="96">
        <v>3</v>
      </c>
      <c r="J18" s="96">
        <v>0</v>
      </c>
      <c r="K18" s="96">
        <v>1.046</v>
      </c>
      <c r="L18" s="96">
        <v>1.9870000000000001</v>
      </c>
    </row>
    <row r="19" spans="1:12" ht="13.5" thickBot="1" x14ac:dyDescent="0.25">
      <c r="A19" s="106"/>
      <c r="B19" s="107"/>
      <c r="C19" s="106"/>
      <c r="D19" s="106"/>
      <c r="E19" s="108"/>
      <c r="F19" s="109" t="s">
        <v>503</v>
      </c>
      <c r="G19" s="96"/>
      <c r="I19" s="96"/>
      <c r="J19" s="96"/>
      <c r="K19" s="96">
        <f>0.327</f>
        <v>0.32700000000000001</v>
      </c>
      <c r="L19" s="96">
        <f>42.04</f>
        <v>42.04</v>
      </c>
    </row>
    <row r="20" spans="1:12" x14ac:dyDescent="0.2">
      <c r="A20" s="110"/>
      <c r="B20" s="111" t="s">
        <v>17</v>
      </c>
      <c r="C20" s="112">
        <v>3314</v>
      </c>
      <c r="D20" s="113"/>
      <c r="E20" s="114"/>
      <c r="F20" s="115"/>
      <c r="G20" s="116">
        <f>SUM(G6:G19)</f>
        <v>705</v>
      </c>
      <c r="I20" s="116">
        <f>SUM(I6:I19)</f>
        <v>703.5</v>
      </c>
      <c r="J20" s="116">
        <f>SUM(J6:J19)</f>
        <v>485.49200000000002</v>
      </c>
      <c r="K20" s="116">
        <f>SUM(K6:K19)</f>
        <v>667.03</v>
      </c>
      <c r="L20" s="116">
        <f>SUM(L6:L19)</f>
        <v>661.178</v>
      </c>
    </row>
    <row r="22" spans="1:12" x14ac:dyDescent="0.2">
      <c r="A22" s="106">
        <v>100</v>
      </c>
      <c r="B22" s="107" t="s">
        <v>18</v>
      </c>
      <c r="C22" s="106">
        <v>3319</v>
      </c>
      <c r="D22" s="106">
        <v>5021</v>
      </c>
      <c r="E22" s="108">
        <v>3319000000001</v>
      </c>
      <c r="F22" s="109" t="s">
        <v>19</v>
      </c>
      <c r="G22" s="96">
        <v>22</v>
      </c>
      <c r="I22" s="96">
        <v>21.6</v>
      </c>
      <c r="J22" s="96">
        <v>17.3</v>
      </c>
      <c r="K22" s="96">
        <v>23.4</v>
      </c>
      <c r="L22" s="96">
        <v>15.3</v>
      </c>
    </row>
    <row r="23" spans="1:12" x14ac:dyDescent="0.2">
      <c r="A23" s="106">
        <v>100</v>
      </c>
      <c r="B23" s="107" t="s">
        <v>18</v>
      </c>
      <c r="C23" s="106">
        <v>3319</v>
      </c>
      <c r="D23" s="106">
        <v>5139</v>
      </c>
      <c r="E23" s="108">
        <v>3319000000001</v>
      </c>
      <c r="F23" s="109" t="s">
        <v>504</v>
      </c>
      <c r="G23" s="96">
        <v>15</v>
      </c>
      <c r="I23" s="96">
        <v>15</v>
      </c>
      <c r="J23" s="96">
        <v>0</v>
      </c>
      <c r="K23" s="96"/>
      <c r="L23" s="96"/>
    </row>
    <row r="24" spans="1:12" x14ac:dyDescent="0.2">
      <c r="A24" s="106">
        <v>100</v>
      </c>
      <c r="B24" s="107" t="s">
        <v>18</v>
      </c>
      <c r="C24" s="106">
        <v>3319</v>
      </c>
      <c r="D24" s="106">
        <v>5169</v>
      </c>
      <c r="E24" s="108">
        <v>3319000000001</v>
      </c>
      <c r="F24" s="109" t="s">
        <v>20</v>
      </c>
      <c r="G24" s="96">
        <v>3</v>
      </c>
      <c r="I24" s="96">
        <v>2.6</v>
      </c>
      <c r="J24" s="96">
        <v>0</v>
      </c>
      <c r="K24" s="96">
        <v>0</v>
      </c>
      <c r="L24" s="96">
        <v>0</v>
      </c>
    </row>
    <row r="25" spans="1:12" ht="13.5" thickBot="1" x14ac:dyDescent="0.25">
      <c r="A25" s="106"/>
      <c r="B25" s="107"/>
      <c r="C25" s="106"/>
      <c r="D25" s="106"/>
      <c r="E25" s="108"/>
      <c r="F25" s="109" t="s">
        <v>503</v>
      </c>
      <c r="G25" s="96"/>
      <c r="I25" s="96"/>
      <c r="J25" s="96"/>
      <c r="K25" s="96"/>
      <c r="L25" s="96"/>
    </row>
    <row r="26" spans="1:12" x14ac:dyDescent="0.2">
      <c r="A26" s="110"/>
      <c r="B26" s="111" t="s">
        <v>17</v>
      </c>
      <c r="C26" s="112">
        <v>3319</v>
      </c>
      <c r="D26" s="113"/>
      <c r="E26" s="114"/>
      <c r="F26" s="115"/>
      <c r="G26" s="116">
        <f>SUM(G22:G25)</f>
        <v>40</v>
      </c>
      <c r="I26" s="116">
        <f>SUM(I22:I25)</f>
        <v>39.200000000000003</v>
      </c>
      <c r="J26" s="116">
        <f>SUM(J22:J25)</f>
        <v>17.3</v>
      </c>
      <c r="K26" s="116">
        <f>SUM(K22:K25)</f>
        <v>23.4</v>
      </c>
      <c r="L26" s="116">
        <f>SUM(L22:L25)</f>
        <v>15.3</v>
      </c>
    </row>
    <row r="28" spans="1:12" x14ac:dyDescent="0.2">
      <c r="A28" s="106">
        <v>100</v>
      </c>
      <c r="B28" s="107" t="s">
        <v>21</v>
      </c>
      <c r="C28" s="106">
        <v>3326</v>
      </c>
      <c r="D28" s="106">
        <v>5223</v>
      </c>
      <c r="E28" s="108">
        <v>3326000000001</v>
      </c>
      <c r="F28" s="109" t="s">
        <v>22</v>
      </c>
      <c r="G28" s="96">
        <v>2</v>
      </c>
      <c r="I28" s="96">
        <v>2</v>
      </c>
      <c r="J28" s="96">
        <v>1.1619999999999999</v>
      </c>
      <c r="K28" s="96">
        <v>1.1619999999999999</v>
      </c>
      <c r="L28" s="96">
        <v>1.1619999999999999</v>
      </c>
    </row>
    <row r="29" spans="1:12" x14ac:dyDescent="0.2">
      <c r="A29" s="106">
        <v>100</v>
      </c>
      <c r="B29" s="107" t="s">
        <v>21</v>
      </c>
      <c r="C29" s="106">
        <v>3326</v>
      </c>
      <c r="D29" s="106">
        <v>5171</v>
      </c>
      <c r="E29" s="108">
        <v>3326000000001</v>
      </c>
      <c r="F29" s="109" t="s">
        <v>505</v>
      </c>
      <c r="G29" s="96">
        <v>4</v>
      </c>
      <c r="I29" s="96"/>
      <c r="J29" s="96"/>
      <c r="K29" s="96"/>
      <c r="L29" s="96"/>
    </row>
    <row r="30" spans="1:12" ht="13.5" thickBot="1" x14ac:dyDescent="0.25">
      <c r="A30" s="106"/>
      <c r="B30" s="107"/>
      <c r="C30" s="106"/>
      <c r="D30" s="106"/>
      <c r="E30" s="108"/>
      <c r="F30" s="109" t="s">
        <v>503</v>
      </c>
      <c r="G30" s="96"/>
      <c r="I30" s="96"/>
      <c r="J30" s="96"/>
      <c r="K30" s="96"/>
      <c r="L30" s="96"/>
    </row>
    <row r="31" spans="1:12" x14ac:dyDescent="0.2">
      <c r="A31" s="110"/>
      <c r="B31" s="111" t="s">
        <v>17</v>
      </c>
      <c r="C31" s="112">
        <v>3326</v>
      </c>
      <c r="D31" s="113"/>
      <c r="E31" s="114"/>
      <c r="F31" s="115"/>
      <c r="G31" s="116">
        <f>SUM(G28:G30)</f>
        <v>6</v>
      </c>
      <c r="I31" s="116">
        <f>SUM(I28:I30)</f>
        <v>2</v>
      </c>
      <c r="J31" s="116">
        <f>SUM(J28:J30)</f>
        <v>1.1619999999999999</v>
      </c>
      <c r="K31" s="116">
        <f>SUM(K28:K30)</f>
        <v>1.1619999999999999</v>
      </c>
      <c r="L31" s="116">
        <f>SUM(L28:L30)</f>
        <v>1.1619999999999999</v>
      </c>
    </row>
    <row r="33" spans="1:12" x14ac:dyDescent="0.2">
      <c r="A33" s="106">
        <v>100</v>
      </c>
      <c r="B33" s="107" t="s">
        <v>23</v>
      </c>
      <c r="C33" s="106">
        <v>3349</v>
      </c>
      <c r="D33" s="106">
        <v>5021</v>
      </c>
      <c r="E33" s="108">
        <v>3349000000001</v>
      </c>
      <c r="F33" s="109" t="s">
        <v>24</v>
      </c>
      <c r="G33" s="96">
        <v>115</v>
      </c>
      <c r="I33" s="96">
        <v>115</v>
      </c>
      <c r="J33" s="96">
        <v>82.426000000000002</v>
      </c>
      <c r="K33" s="96">
        <v>89.897999999999996</v>
      </c>
      <c r="L33" s="96">
        <v>74.597999999999999</v>
      </c>
    </row>
    <row r="34" spans="1:12" x14ac:dyDescent="0.2">
      <c r="A34" s="106">
        <v>100</v>
      </c>
      <c r="B34" s="107" t="s">
        <v>23</v>
      </c>
      <c r="C34" s="106">
        <v>3349</v>
      </c>
      <c r="D34" s="106">
        <v>5139</v>
      </c>
      <c r="E34" s="108">
        <v>3349000000001</v>
      </c>
      <c r="F34" s="109" t="s">
        <v>25</v>
      </c>
      <c r="G34" s="96">
        <v>450</v>
      </c>
      <c r="I34" s="96">
        <v>500</v>
      </c>
      <c r="J34" s="96">
        <v>216.505</v>
      </c>
      <c r="K34" s="96">
        <v>271.7</v>
      </c>
      <c r="L34" s="96">
        <v>368.00700000000001</v>
      </c>
    </row>
    <row r="35" spans="1:12" x14ac:dyDescent="0.2">
      <c r="A35" s="106">
        <v>100</v>
      </c>
      <c r="B35" s="107" t="s">
        <v>23</v>
      </c>
      <c r="C35" s="106">
        <v>3349</v>
      </c>
      <c r="D35" s="106">
        <v>5162</v>
      </c>
      <c r="E35" s="108">
        <v>3349000000001</v>
      </c>
      <c r="F35" s="109" t="s">
        <v>26</v>
      </c>
      <c r="G35" s="96">
        <v>3</v>
      </c>
      <c r="I35" s="96">
        <v>3</v>
      </c>
      <c r="J35" s="96">
        <v>1.0369999999999999</v>
      </c>
      <c r="K35" s="96">
        <v>1.744</v>
      </c>
      <c r="L35" s="96">
        <v>2.3109999999999999</v>
      </c>
    </row>
    <row r="36" spans="1:12" x14ac:dyDescent="0.2">
      <c r="A36" s="106">
        <v>100</v>
      </c>
      <c r="B36" s="107" t="s">
        <v>23</v>
      </c>
      <c r="C36" s="106">
        <v>3349</v>
      </c>
      <c r="D36" s="106">
        <v>5169</v>
      </c>
      <c r="E36" s="108">
        <v>3349000000001</v>
      </c>
      <c r="F36" s="109" t="s">
        <v>27</v>
      </c>
      <c r="G36" s="96">
        <v>425</v>
      </c>
      <c r="I36" s="96">
        <v>430</v>
      </c>
      <c r="J36" s="96">
        <v>309.39999999999998</v>
      </c>
      <c r="K36" s="96">
        <v>429.024</v>
      </c>
      <c r="L36" s="96">
        <v>412.5</v>
      </c>
    </row>
    <row r="37" spans="1:12" x14ac:dyDescent="0.2">
      <c r="A37" s="106">
        <v>100</v>
      </c>
      <c r="B37" s="107" t="s">
        <v>23</v>
      </c>
      <c r="C37" s="106">
        <v>3349</v>
      </c>
      <c r="D37" s="106">
        <v>5175</v>
      </c>
      <c r="E37" s="108">
        <v>3349000000001</v>
      </c>
      <c r="F37" s="109" t="s">
        <v>28</v>
      </c>
      <c r="G37" s="96">
        <v>2</v>
      </c>
      <c r="I37" s="96">
        <v>2</v>
      </c>
      <c r="J37" s="96">
        <v>0</v>
      </c>
      <c r="K37" s="96">
        <v>0</v>
      </c>
      <c r="L37" s="96">
        <v>0</v>
      </c>
    </row>
    <row r="38" spans="1:12" ht="13.5" thickBot="1" x14ac:dyDescent="0.25">
      <c r="A38" s="106"/>
      <c r="B38" s="107"/>
      <c r="C38" s="106"/>
      <c r="D38" s="106"/>
      <c r="E38" s="108"/>
      <c r="F38" s="109" t="s">
        <v>503</v>
      </c>
      <c r="G38" s="96"/>
      <c r="I38" s="96"/>
      <c r="J38" s="96"/>
      <c r="K38" s="96"/>
      <c r="L38" s="96"/>
    </row>
    <row r="39" spans="1:12" x14ac:dyDescent="0.2">
      <c r="A39" s="110"/>
      <c r="B39" s="111" t="s">
        <v>17</v>
      </c>
      <c r="C39" s="112">
        <v>3349</v>
      </c>
      <c r="D39" s="113"/>
      <c r="E39" s="114"/>
      <c r="F39" s="115"/>
      <c r="G39" s="116">
        <f>SUM(G33:G38)</f>
        <v>995</v>
      </c>
      <c r="I39" s="116">
        <f>SUM(I33:I38)</f>
        <v>1050</v>
      </c>
      <c r="J39" s="116">
        <f>SUM(J33:J38)</f>
        <v>609.36799999999994</v>
      </c>
      <c r="K39" s="116">
        <f>SUM(K33:K38)</f>
        <v>792.36599999999999</v>
      </c>
      <c r="L39" s="116">
        <f>SUM(L33:L38)</f>
        <v>857.41599999999994</v>
      </c>
    </row>
    <row r="41" spans="1:12" x14ac:dyDescent="0.2">
      <c r="A41" s="106">
        <v>100</v>
      </c>
      <c r="B41" s="107" t="s">
        <v>30</v>
      </c>
      <c r="C41" s="106">
        <v>3399</v>
      </c>
      <c r="D41" s="106">
        <v>5021</v>
      </c>
      <c r="E41" s="108">
        <v>3399000000001</v>
      </c>
      <c r="F41" s="109" t="s">
        <v>31</v>
      </c>
      <c r="G41" s="96">
        <v>180</v>
      </c>
      <c r="I41" s="96">
        <v>180</v>
      </c>
      <c r="J41" s="96">
        <v>30.5</v>
      </c>
      <c r="K41" s="96">
        <v>83.93</v>
      </c>
      <c r="L41" s="96">
        <v>116.636</v>
      </c>
    </row>
    <row r="42" spans="1:12" x14ac:dyDescent="0.2">
      <c r="A42" s="106">
        <v>100</v>
      </c>
      <c r="B42" s="107" t="s">
        <v>30</v>
      </c>
      <c r="C42" s="106">
        <v>3399</v>
      </c>
      <c r="D42" s="106">
        <v>5041</v>
      </c>
      <c r="E42" s="108">
        <v>3399000000001</v>
      </c>
      <c r="F42" s="109" t="s">
        <v>32</v>
      </c>
      <c r="G42" s="96">
        <f>330+90</f>
        <v>420</v>
      </c>
      <c r="I42" s="96">
        <v>730</v>
      </c>
      <c r="J42" s="96">
        <v>374</v>
      </c>
      <c r="K42" s="96">
        <v>446.54</v>
      </c>
      <c r="L42" s="96">
        <v>757.36099999999999</v>
      </c>
    </row>
    <row r="43" spans="1:12" x14ac:dyDescent="0.2">
      <c r="A43" s="106">
        <v>100</v>
      </c>
      <c r="B43" s="107" t="s">
        <v>30</v>
      </c>
      <c r="C43" s="106">
        <v>3399</v>
      </c>
      <c r="D43" s="106">
        <v>5137</v>
      </c>
      <c r="E43" s="108">
        <v>3399000000001</v>
      </c>
      <c r="F43" s="109" t="s">
        <v>506</v>
      </c>
      <c r="G43" s="96">
        <v>50</v>
      </c>
      <c r="I43" s="96">
        <v>40</v>
      </c>
      <c r="J43" s="96">
        <v>11.63</v>
      </c>
      <c r="K43" s="96">
        <v>6</v>
      </c>
      <c r="L43" s="96">
        <v>36.494</v>
      </c>
    </row>
    <row r="44" spans="1:12" x14ac:dyDescent="0.2">
      <c r="A44" s="106">
        <v>100</v>
      </c>
      <c r="B44" s="107" t="s">
        <v>30</v>
      </c>
      <c r="C44" s="106">
        <v>3399</v>
      </c>
      <c r="D44" s="106">
        <v>5138</v>
      </c>
      <c r="E44" s="108">
        <v>3399000000001</v>
      </c>
      <c r="F44" s="109" t="s">
        <v>507</v>
      </c>
      <c r="G44" s="96">
        <v>20</v>
      </c>
      <c r="I44" s="96">
        <v>20</v>
      </c>
      <c r="J44" s="96">
        <v>1.1599999999999999</v>
      </c>
      <c r="K44" s="96">
        <v>6.5590000000000002</v>
      </c>
      <c r="L44" s="96">
        <v>6.91</v>
      </c>
    </row>
    <row r="45" spans="1:12" x14ac:dyDescent="0.2">
      <c r="A45" s="106">
        <v>100</v>
      </c>
      <c r="B45" s="107" t="s">
        <v>30</v>
      </c>
      <c r="C45" s="106">
        <v>3399</v>
      </c>
      <c r="D45" s="106">
        <v>5139</v>
      </c>
      <c r="E45" s="108">
        <v>3399000000001</v>
      </c>
      <c r="F45" s="109" t="s">
        <v>508</v>
      </c>
      <c r="G45" s="96">
        <v>80</v>
      </c>
      <c r="I45" s="96">
        <v>80</v>
      </c>
      <c r="J45" s="96">
        <v>15.89</v>
      </c>
      <c r="K45" s="96">
        <v>22.937000000000001</v>
      </c>
      <c r="L45" s="96">
        <v>80.414000000000001</v>
      </c>
    </row>
    <row r="46" spans="1:12" x14ac:dyDescent="0.2">
      <c r="A46" s="106">
        <v>100</v>
      </c>
      <c r="B46" s="107" t="s">
        <v>30</v>
      </c>
      <c r="C46" s="106">
        <v>3399</v>
      </c>
      <c r="D46" s="106">
        <v>5153</v>
      </c>
      <c r="E46" s="108">
        <v>3399000000001</v>
      </c>
      <c r="F46" s="109" t="s">
        <v>35</v>
      </c>
      <c r="G46" s="96">
        <f>2*30</f>
        <v>60</v>
      </c>
      <c r="I46" s="96">
        <v>30</v>
      </c>
      <c r="J46" s="96">
        <v>6</v>
      </c>
      <c r="K46" s="96">
        <v>7.867</v>
      </c>
      <c r="L46" s="96">
        <v>9.9559999999999995</v>
      </c>
    </row>
    <row r="47" spans="1:12" x14ac:dyDescent="0.2">
      <c r="A47" s="106">
        <v>100</v>
      </c>
      <c r="B47" s="107" t="s">
        <v>30</v>
      </c>
      <c r="C47" s="106">
        <v>3399</v>
      </c>
      <c r="D47" s="106">
        <v>5154</v>
      </c>
      <c r="E47" s="108">
        <v>3399000000001</v>
      </c>
      <c r="F47" s="109" t="s">
        <v>509</v>
      </c>
      <c r="G47" s="96">
        <f>2*20</f>
        <v>40</v>
      </c>
      <c r="I47" s="96">
        <v>20</v>
      </c>
      <c r="J47" s="96">
        <v>33.9</v>
      </c>
      <c r="K47" s="96">
        <v>24.823</v>
      </c>
      <c r="L47" s="96">
        <v>16.513000000000002</v>
      </c>
    </row>
    <row r="48" spans="1:12" x14ac:dyDescent="0.2">
      <c r="A48" s="106">
        <v>100</v>
      </c>
      <c r="B48" s="107" t="s">
        <v>30</v>
      </c>
      <c r="C48" s="106">
        <v>3399</v>
      </c>
      <c r="D48" s="106">
        <v>5164</v>
      </c>
      <c r="E48" s="108">
        <v>3399000000001</v>
      </c>
      <c r="F48" s="109" t="s">
        <v>510</v>
      </c>
      <c r="G48" s="96">
        <v>70</v>
      </c>
      <c r="I48" s="96">
        <v>70</v>
      </c>
      <c r="J48" s="96">
        <v>49</v>
      </c>
      <c r="K48" s="96">
        <v>62.048999999999999</v>
      </c>
      <c r="L48" s="96">
        <v>64.5</v>
      </c>
    </row>
    <row r="49" spans="1:12" x14ac:dyDescent="0.2">
      <c r="A49" s="106">
        <v>100</v>
      </c>
      <c r="B49" s="107" t="s">
        <v>30</v>
      </c>
      <c r="C49" s="106">
        <v>3399</v>
      </c>
      <c r="D49" s="106">
        <v>5169</v>
      </c>
      <c r="E49" s="108">
        <v>3399000000001</v>
      </c>
      <c r="F49" s="109" t="s">
        <v>511</v>
      </c>
      <c r="G49" s="96">
        <v>600</v>
      </c>
      <c r="I49" s="96">
        <v>180</v>
      </c>
      <c r="J49" s="96">
        <v>193.04300000000001</v>
      </c>
      <c r="K49" s="96">
        <v>149.32</v>
      </c>
      <c r="L49" s="96">
        <v>184.76900000000001</v>
      </c>
    </row>
    <row r="50" spans="1:12" x14ac:dyDescent="0.2">
      <c r="A50" s="106">
        <v>100</v>
      </c>
      <c r="B50" s="107" t="s">
        <v>30</v>
      </c>
      <c r="C50" s="106">
        <v>3399</v>
      </c>
      <c r="D50" s="106">
        <v>5171</v>
      </c>
      <c r="E50" s="108">
        <v>3399000000001</v>
      </c>
      <c r="F50" s="109" t="s">
        <v>512</v>
      </c>
      <c r="G50" s="96">
        <v>50</v>
      </c>
      <c r="I50" s="96">
        <v>60</v>
      </c>
      <c r="J50" s="96">
        <v>3.32</v>
      </c>
      <c r="K50" s="96">
        <v>25.872</v>
      </c>
      <c r="L50" s="96">
        <v>109.881</v>
      </c>
    </row>
    <row r="51" spans="1:12" x14ac:dyDescent="0.2">
      <c r="A51" s="106">
        <v>100</v>
      </c>
      <c r="B51" s="107" t="s">
        <v>30</v>
      </c>
      <c r="C51" s="106">
        <v>3399</v>
      </c>
      <c r="D51" s="106">
        <v>5173</v>
      </c>
      <c r="E51" s="108">
        <v>3399000000001</v>
      </c>
      <c r="F51" s="109" t="s">
        <v>14</v>
      </c>
      <c r="G51" s="96">
        <v>5</v>
      </c>
      <c r="I51" s="96">
        <v>5</v>
      </c>
      <c r="J51" s="96">
        <v>0</v>
      </c>
      <c r="K51" s="96">
        <v>0</v>
      </c>
      <c r="L51" s="96">
        <v>0</v>
      </c>
    </row>
    <row r="52" spans="1:12" x14ac:dyDescent="0.2">
      <c r="A52" s="106">
        <v>100</v>
      </c>
      <c r="B52" s="107" t="s">
        <v>30</v>
      </c>
      <c r="C52" s="106">
        <v>3399</v>
      </c>
      <c r="D52" s="106">
        <v>5175</v>
      </c>
      <c r="E52" s="108">
        <v>3399000000001</v>
      </c>
      <c r="F52" s="109" t="s">
        <v>36</v>
      </c>
      <c r="G52" s="96">
        <v>60</v>
      </c>
      <c r="I52" s="96">
        <v>60</v>
      </c>
      <c r="J52" s="96">
        <v>3</v>
      </c>
      <c r="K52" s="96">
        <v>10.657999999999999</v>
      </c>
      <c r="L52" s="96">
        <v>70.602999999999994</v>
      </c>
    </row>
    <row r="53" spans="1:12" x14ac:dyDescent="0.2">
      <c r="A53" s="106">
        <v>100</v>
      </c>
      <c r="B53" s="107" t="s">
        <v>30</v>
      </c>
      <c r="C53" s="106">
        <v>3399</v>
      </c>
      <c r="D53" s="106">
        <v>5179</v>
      </c>
      <c r="E53" s="108">
        <v>3399000000001</v>
      </c>
      <c r="F53" s="109" t="s">
        <v>427</v>
      </c>
      <c r="G53" s="96">
        <v>0</v>
      </c>
      <c r="I53" s="96">
        <v>150</v>
      </c>
      <c r="J53" s="96">
        <v>0</v>
      </c>
      <c r="K53" s="96">
        <v>150</v>
      </c>
      <c r="L53" s="96"/>
    </row>
    <row r="54" spans="1:12" x14ac:dyDescent="0.2">
      <c r="A54" s="106">
        <v>100</v>
      </c>
      <c r="B54" s="107" t="s">
        <v>30</v>
      </c>
      <c r="C54" s="106">
        <v>3399</v>
      </c>
      <c r="D54" s="106">
        <v>5194</v>
      </c>
      <c r="E54" s="108">
        <v>3399000000001</v>
      </c>
      <c r="F54" s="109" t="s">
        <v>37</v>
      </c>
      <c r="G54" s="96">
        <v>35</v>
      </c>
      <c r="I54" s="96">
        <v>35</v>
      </c>
      <c r="J54" s="96">
        <v>3.8</v>
      </c>
      <c r="K54" s="96">
        <v>3.3370000000000002</v>
      </c>
      <c r="L54" s="96">
        <v>9.9320000000000004</v>
      </c>
    </row>
    <row r="55" spans="1:12" x14ac:dyDescent="0.2">
      <c r="A55" s="106">
        <v>100</v>
      </c>
      <c r="B55" s="107" t="s">
        <v>30</v>
      </c>
      <c r="C55" s="106">
        <v>3399</v>
      </c>
      <c r="D55" s="106">
        <v>5222</v>
      </c>
      <c r="E55" s="108">
        <v>3399000000001</v>
      </c>
      <c r="F55" s="109" t="s">
        <v>38</v>
      </c>
      <c r="G55" s="96">
        <v>640</v>
      </c>
      <c r="I55" s="96">
        <v>640</v>
      </c>
      <c r="J55" s="96">
        <f>3.8+40+26.9+218+5+80-4.757</f>
        <v>368.94299999999998</v>
      </c>
      <c r="K55" s="96">
        <f>132+45+27.9+283</f>
        <v>487.9</v>
      </c>
      <c r="L55" s="96">
        <f>157+268+60</f>
        <v>485</v>
      </c>
    </row>
    <row r="56" spans="1:12" x14ac:dyDescent="0.2">
      <c r="A56" s="106">
        <v>100</v>
      </c>
      <c r="B56" s="107" t="s">
        <v>30</v>
      </c>
      <c r="C56" s="106">
        <v>3399</v>
      </c>
      <c r="D56" s="106">
        <v>5321</v>
      </c>
      <c r="E56" s="108">
        <v>3399000000001</v>
      </c>
      <c r="F56" s="109" t="s">
        <v>39</v>
      </c>
      <c r="G56" s="96">
        <v>25</v>
      </c>
      <c r="I56" s="96">
        <v>25</v>
      </c>
      <c r="J56" s="96">
        <v>25</v>
      </c>
      <c r="K56" s="96">
        <v>0</v>
      </c>
      <c r="L56" s="96">
        <v>20</v>
      </c>
    </row>
    <row r="57" spans="1:12" x14ac:dyDescent="0.2">
      <c r="A57" s="106">
        <v>100</v>
      </c>
      <c r="B57" s="107" t="s">
        <v>30</v>
      </c>
      <c r="C57" s="106">
        <v>3399</v>
      </c>
      <c r="D57" s="106">
        <v>5492</v>
      </c>
      <c r="E57" s="108">
        <v>3399000000001</v>
      </c>
      <c r="F57" s="109" t="s">
        <v>40</v>
      </c>
      <c r="G57" s="96">
        <v>50</v>
      </c>
      <c r="I57" s="96">
        <v>50</v>
      </c>
      <c r="J57" s="96">
        <v>5</v>
      </c>
      <c r="K57" s="96">
        <v>0</v>
      </c>
      <c r="L57" s="96">
        <v>0</v>
      </c>
    </row>
    <row r="58" spans="1:12" ht="13.5" thickBot="1" x14ac:dyDescent="0.25">
      <c r="A58" s="106"/>
      <c r="B58" s="107"/>
      <c r="C58" s="106"/>
      <c r="D58" s="106"/>
      <c r="E58" s="108"/>
      <c r="F58" s="109" t="s">
        <v>503</v>
      </c>
      <c r="G58" s="96"/>
      <c r="I58" s="96"/>
      <c r="J58" s="96"/>
      <c r="K58" s="96">
        <f>3.224+1.17</f>
        <v>4.3940000000000001</v>
      </c>
      <c r="L58" s="96">
        <f>5.125+1.845</f>
        <v>6.97</v>
      </c>
    </row>
    <row r="59" spans="1:12" x14ac:dyDescent="0.2">
      <c r="A59" s="110"/>
      <c r="B59" s="111" t="s">
        <v>17</v>
      </c>
      <c r="C59" s="112">
        <v>3399</v>
      </c>
      <c r="D59" s="113"/>
      <c r="E59" s="114"/>
      <c r="F59" s="115"/>
      <c r="G59" s="116">
        <f>SUM(G41:G58)</f>
        <v>2385</v>
      </c>
      <c r="I59" s="116">
        <f>SUM(I41:I58)</f>
        <v>2375</v>
      </c>
      <c r="J59" s="116">
        <f>SUM(J41:J58)</f>
        <v>1124.1859999999999</v>
      </c>
      <c r="K59" s="116">
        <f>SUM(K41:K58)</f>
        <v>1492.1859999999999</v>
      </c>
      <c r="L59" s="116">
        <f>SUM(L41:L58)</f>
        <v>1975.9390000000001</v>
      </c>
    </row>
    <row r="61" spans="1:12" x14ac:dyDescent="0.2">
      <c r="A61" s="106">
        <v>100</v>
      </c>
      <c r="B61" s="107" t="s">
        <v>41</v>
      </c>
      <c r="C61" s="106">
        <v>3421</v>
      </c>
      <c r="D61" s="106">
        <v>5222</v>
      </c>
      <c r="E61" s="108">
        <v>3421000000001</v>
      </c>
      <c r="F61" s="109" t="s">
        <v>43</v>
      </c>
      <c r="G61" s="96">
        <v>200</v>
      </c>
      <c r="I61" s="96">
        <v>200</v>
      </c>
      <c r="J61" s="96">
        <v>200</v>
      </c>
      <c r="K61" s="96">
        <v>200</v>
      </c>
      <c r="L61" s="96">
        <v>200</v>
      </c>
    </row>
    <row r="62" spans="1:12" x14ac:dyDescent="0.2">
      <c r="A62" s="106">
        <v>100</v>
      </c>
      <c r="B62" s="107" t="s">
        <v>41</v>
      </c>
      <c r="C62" s="106">
        <v>3421</v>
      </c>
      <c r="D62" s="106">
        <v>5222</v>
      </c>
      <c r="E62" s="108">
        <v>3421000000001</v>
      </c>
      <c r="F62" s="109" t="s">
        <v>44</v>
      </c>
      <c r="G62" s="96">
        <v>200</v>
      </c>
      <c r="I62" s="96">
        <v>200</v>
      </c>
      <c r="J62" s="96">
        <v>200</v>
      </c>
      <c r="K62" s="96">
        <v>200</v>
      </c>
      <c r="L62" s="96">
        <v>100</v>
      </c>
    </row>
    <row r="63" spans="1:12" x14ac:dyDescent="0.2">
      <c r="A63" s="106">
        <v>100</v>
      </c>
      <c r="B63" s="107" t="s">
        <v>41</v>
      </c>
      <c r="C63" s="106">
        <v>3421</v>
      </c>
      <c r="D63" s="106">
        <v>5222</v>
      </c>
      <c r="E63" s="108">
        <v>3421000000001</v>
      </c>
      <c r="F63" s="109" t="s">
        <v>45</v>
      </c>
      <c r="G63" s="96">
        <v>200</v>
      </c>
      <c r="I63" s="96">
        <v>200</v>
      </c>
      <c r="J63" s="96">
        <v>200</v>
      </c>
      <c r="K63" s="96">
        <v>200</v>
      </c>
      <c r="L63" s="96">
        <v>200</v>
      </c>
    </row>
    <row r="64" spans="1:12" x14ac:dyDescent="0.2">
      <c r="A64" s="106">
        <v>100</v>
      </c>
      <c r="B64" s="107" t="s">
        <v>41</v>
      </c>
      <c r="C64" s="106">
        <v>3421</v>
      </c>
      <c r="D64" s="106">
        <v>5222</v>
      </c>
      <c r="E64" s="108">
        <v>3421000000001</v>
      </c>
      <c r="F64" s="109" t="s">
        <v>42</v>
      </c>
      <c r="G64" s="96">
        <v>650</v>
      </c>
      <c r="I64" s="96">
        <f>1250-SUM(I61:I63)</f>
        <v>650</v>
      </c>
      <c r="J64" s="96">
        <f>1240-SUM(J61:J63)</f>
        <v>640</v>
      </c>
      <c r="K64" s="96">
        <f>1250-SUM(K61:K63)</f>
        <v>650</v>
      </c>
      <c r="L64" s="96">
        <f>1190-SUM(L61:L63)</f>
        <v>690</v>
      </c>
    </row>
    <row r="65" spans="1:12" ht="13.5" thickBot="1" x14ac:dyDescent="0.25">
      <c r="A65" s="106"/>
      <c r="B65" s="107"/>
      <c r="C65" s="106"/>
      <c r="D65" s="106"/>
      <c r="E65" s="108"/>
      <c r="F65" s="109" t="s">
        <v>503</v>
      </c>
      <c r="G65" s="96"/>
      <c r="I65" s="96"/>
      <c r="J65" s="96"/>
      <c r="K65" s="96"/>
      <c r="L65" s="96"/>
    </row>
    <row r="66" spans="1:12" x14ac:dyDescent="0.2">
      <c r="A66" s="110"/>
      <c r="B66" s="111" t="s">
        <v>17</v>
      </c>
      <c r="C66" s="112">
        <v>3421</v>
      </c>
      <c r="D66" s="113"/>
      <c r="E66" s="114"/>
      <c r="F66" s="115"/>
      <c r="G66" s="116">
        <f>SUM(G61:G65)</f>
        <v>1250</v>
      </c>
      <c r="I66" s="116">
        <f>SUM(I61:I65)</f>
        <v>1250</v>
      </c>
      <c r="J66" s="116">
        <f>SUM(J61:J65)</f>
        <v>1240</v>
      </c>
      <c r="K66" s="116">
        <f>SUM(K61:K65)</f>
        <v>1250</v>
      </c>
      <c r="L66" s="116">
        <f>SUM(L61:L65)</f>
        <v>1190</v>
      </c>
    </row>
    <row r="68" spans="1:12" x14ac:dyDescent="0.2">
      <c r="A68" s="106">
        <v>100</v>
      </c>
      <c r="B68" s="107" t="s">
        <v>46</v>
      </c>
      <c r="C68" s="106">
        <v>5213</v>
      </c>
      <c r="D68" s="106">
        <v>5132</v>
      </c>
      <c r="E68" s="108">
        <v>5213000000001</v>
      </c>
      <c r="F68" s="109" t="s">
        <v>47</v>
      </c>
      <c r="G68" s="96">
        <v>3</v>
      </c>
      <c r="I68" s="96">
        <v>3</v>
      </c>
      <c r="J68" s="96">
        <v>0</v>
      </c>
      <c r="K68" s="96">
        <v>250.36500000000001</v>
      </c>
      <c r="L68" s="96">
        <v>0</v>
      </c>
    </row>
    <row r="69" spans="1:12" x14ac:dyDescent="0.2">
      <c r="A69" s="106">
        <v>100</v>
      </c>
      <c r="B69" s="107" t="s">
        <v>46</v>
      </c>
      <c r="C69" s="106">
        <v>5213</v>
      </c>
      <c r="D69" s="106">
        <v>5139</v>
      </c>
      <c r="E69" s="108">
        <v>5213000000001</v>
      </c>
      <c r="F69" s="109" t="s">
        <v>56</v>
      </c>
      <c r="G69" s="96">
        <v>15</v>
      </c>
      <c r="I69" s="96">
        <v>15</v>
      </c>
      <c r="J69" s="96">
        <v>0</v>
      </c>
      <c r="K69" s="96">
        <v>112.27200000000001</v>
      </c>
      <c r="L69" s="96">
        <v>23.8</v>
      </c>
    </row>
    <row r="70" spans="1:12" x14ac:dyDescent="0.2">
      <c r="A70" s="106">
        <v>100</v>
      </c>
      <c r="B70" s="107" t="s">
        <v>46</v>
      </c>
      <c r="C70" s="106">
        <v>5213</v>
      </c>
      <c r="D70" s="106">
        <v>5175</v>
      </c>
      <c r="E70" s="108">
        <v>5213000000001</v>
      </c>
      <c r="F70" s="109" t="s">
        <v>15</v>
      </c>
      <c r="G70" s="96">
        <v>22</v>
      </c>
      <c r="I70" s="96">
        <v>22</v>
      </c>
      <c r="J70" s="96">
        <v>0</v>
      </c>
      <c r="K70" s="96">
        <v>0</v>
      </c>
      <c r="L70" s="96">
        <v>0</v>
      </c>
    </row>
    <row r="71" spans="1:12" x14ac:dyDescent="0.2">
      <c r="A71" s="106">
        <v>100</v>
      </c>
      <c r="B71" s="107" t="s">
        <v>48</v>
      </c>
      <c r="C71" s="106">
        <v>5213</v>
      </c>
      <c r="D71" s="106">
        <v>5903</v>
      </c>
      <c r="E71" s="108">
        <v>5213000000001</v>
      </c>
      <c r="F71" s="109" t="s">
        <v>49</v>
      </c>
      <c r="G71" s="96">
        <v>500</v>
      </c>
      <c r="I71" s="96">
        <v>500</v>
      </c>
      <c r="J71" s="96">
        <v>0</v>
      </c>
      <c r="K71" s="96">
        <v>0</v>
      </c>
      <c r="L71" s="96">
        <v>0</v>
      </c>
    </row>
    <row r="72" spans="1:12" ht="13.5" thickBot="1" x14ac:dyDescent="0.25">
      <c r="A72" s="106"/>
      <c r="B72" s="107"/>
      <c r="C72" s="106"/>
      <c r="D72" s="106"/>
      <c r="E72" s="108"/>
      <c r="F72" s="109" t="s">
        <v>503</v>
      </c>
      <c r="G72" s="96"/>
      <c r="I72" s="96"/>
      <c r="J72" s="96">
        <f>3.889</f>
        <v>3.8889999999999998</v>
      </c>
      <c r="K72" s="96">
        <f>2.602</f>
        <v>2.6019999999999999</v>
      </c>
      <c r="L72" s="96"/>
    </row>
    <row r="73" spans="1:12" x14ac:dyDescent="0.2">
      <c r="A73" s="110"/>
      <c r="B73" s="111" t="s">
        <v>17</v>
      </c>
      <c r="C73" s="112">
        <v>5213</v>
      </c>
      <c r="D73" s="113"/>
      <c r="E73" s="114"/>
      <c r="F73" s="115"/>
      <c r="G73" s="116">
        <f>SUM(G68:G72)</f>
        <v>540</v>
      </c>
      <c r="I73" s="116">
        <f>SUM(I68:I72)</f>
        <v>540</v>
      </c>
      <c r="J73" s="116">
        <f>SUM(J68:J72)</f>
        <v>3.8889999999999998</v>
      </c>
      <c r="K73" s="116">
        <f>SUM(K68:K72)</f>
        <v>365.23899999999998</v>
      </c>
      <c r="L73" s="116">
        <f>SUM(L68:L72)</f>
        <v>23.8</v>
      </c>
    </row>
    <row r="75" spans="1:12" x14ac:dyDescent="0.2">
      <c r="A75" s="106">
        <v>100</v>
      </c>
      <c r="B75" s="107" t="s">
        <v>50</v>
      </c>
      <c r="C75" s="106">
        <v>6171</v>
      </c>
      <c r="D75" s="106">
        <v>5011</v>
      </c>
      <c r="E75" s="108">
        <v>6171010000001</v>
      </c>
      <c r="F75" s="109" t="s">
        <v>51</v>
      </c>
      <c r="G75" s="96">
        <v>6397</v>
      </c>
      <c r="I75" s="96">
        <v>4970</v>
      </c>
      <c r="J75" s="96">
        <v>3617.2330000000002</v>
      </c>
      <c r="K75" s="96">
        <v>4087.2060000000001</v>
      </c>
      <c r="L75" s="96">
        <v>3455.9859999999999</v>
      </c>
    </row>
    <row r="76" spans="1:12" x14ac:dyDescent="0.2">
      <c r="A76" s="106">
        <v>100</v>
      </c>
      <c r="B76" s="107" t="s">
        <v>50</v>
      </c>
      <c r="C76" s="106">
        <v>6171</v>
      </c>
      <c r="D76" s="106">
        <v>5021</v>
      </c>
      <c r="E76" s="108">
        <v>6171010000001</v>
      </c>
      <c r="F76" s="109" t="s">
        <v>181</v>
      </c>
      <c r="G76" s="96">
        <f>360+60</f>
        <v>420</v>
      </c>
      <c r="I76" s="96">
        <v>0</v>
      </c>
      <c r="J76" s="96">
        <v>264.79300000000001</v>
      </c>
      <c r="K76" s="96">
        <v>117.143</v>
      </c>
      <c r="L76" s="96">
        <v>72.010000000000005</v>
      </c>
    </row>
    <row r="77" spans="1:12" x14ac:dyDescent="0.2">
      <c r="A77" s="106">
        <v>100</v>
      </c>
      <c r="B77" s="107" t="s">
        <v>50</v>
      </c>
      <c r="C77" s="106">
        <v>6171</v>
      </c>
      <c r="D77" s="106">
        <v>5031</v>
      </c>
      <c r="E77" s="108">
        <v>6171010000001</v>
      </c>
      <c r="F77" s="109" t="s">
        <v>53</v>
      </c>
      <c r="G77" s="96">
        <v>1587</v>
      </c>
      <c r="I77" s="96">
        <v>1243</v>
      </c>
      <c r="J77" s="96">
        <v>969.64800000000002</v>
      </c>
      <c r="K77" s="96">
        <v>1059.9970000000001</v>
      </c>
      <c r="L77" s="96">
        <v>872.875</v>
      </c>
    </row>
    <row r="78" spans="1:12" x14ac:dyDescent="0.2">
      <c r="A78" s="106">
        <v>100</v>
      </c>
      <c r="B78" s="107" t="s">
        <v>50</v>
      </c>
      <c r="C78" s="106">
        <v>6171</v>
      </c>
      <c r="D78" s="106">
        <v>5032</v>
      </c>
      <c r="E78" s="108">
        <v>6171010000001</v>
      </c>
      <c r="F78" s="109" t="s">
        <v>54</v>
      </c>
      <c r="G78" s="96">
        <v>576</v>
      </c>
      <c r="I78" s="96">
        <v>447</v>
      </c>
      <c r="J78" s="96">
        <v>348.637</v>
      </c>
      <c r="K78" s="96">
        <v>384.67200000000003</v>
      </c>
      <c r="L78" s="96">
        <v>311.27699999999999</v>
      </c>
    </row>
    <row r="79" spans="1:12" x14ac:dyDescent="0.2">
      <c r="A79" s="106">
        <v>100</v>
      </c>
      <c r="B79" s="107" t="s">
        <v>50</v>
      </c>
      <c r="C79" s="106">
        <v>6171</v>
      </c>
      <c r="D79" s="106">
        <v>5136</v>
      </c>
      <c r="E79" s="108">
        <v>6171010000001</v>
      </c>
      <c r="F79" s="109" t="s">
        <v>55</v>
      </c>
      <c r="G79" s="96">
        <v>10</v>
      </c>
      <c r="I79" s="96">
        <v>6</v>
      </c>
      <c r="J79" s="96">
        <v>6.7249999999999996</v>
      </c>
      <c r="K79" s="96">
        <v>7.1779999999999999</v>
      </c>
      <c r="L79" s="96">
        <v>5.633</v>
      </c>
    </row>
    <row r="80" spans="1:12" x14ac:dyDescent="0.2">
      <c r="A80" s="106">
        <v>100</v>
      </c>
      <c r="B80" s="107" t="s">
        <v>50</v>
      </c>
      <c r="C80" s="106">
        <v>6171</v>
      </c>
      <c r="D80" s="106">
        <v>5139</v>
      </c>
      <c r="E80" s="108">
        <v>6171010000001</v>
      </c>
      <c r="F80" s="109" t="s">
        <v>56</v>
      </c>
      <c r="G80" s="96">
        <v>10</v>
      </c>
      <c r="I80" s="96">
        <v>7</v>
      </c>
      <c r="J80" s="96">
        <v>8.8620000000000001</v>
      </c>
      <c r="K80" s="96">
        <v>56.215000000000003</v>
      </c>
      <c r="L80" s="96">
        <v>11.000999999999999</v>
      </c>
    </row>
    <row r="81" spans="1:12" x14ac:dyDescent="0.2">
      <c r="A81" s="106">
        <v>100</v>
      </c>
      <c r="B81" s="107" t="s">
        <v>50</v>
      </c>
      <c r="C81" s="106">
        <v>6171</v>
      </c>
      <c r="D81" s="106">
        <v>5167</v>
      </c>
      <c r="E81" s="108">
        <v>6171010000001</v>
      </c>
      <c r="F81" s="109" t="s">
        <v>57</v>
      </c>
      <c r="G81" s="96">
        <v>120</v>
      </c>
      <c r="I81" s="96">
        <v>120</v>
      </c>
      <c r="J81" s="96">
        <v>39.19</v>
      </c>
      <c r="K81" s="96">
        <v>18.847000000000001</v>
      </c>
      <c r="L81" s="96">
        <v>16.419</v>
      </c>
    </row>
    <row r="82" spans="1:12" x14ac:dyDescent="0.2">
      <c r="A82" s="106">
        <v>100</v>
      </c>
      <c r="B82" s="107" t="s">
        <v>58</v>
      </c>
      <c r="C82" s="106">
        <v>6171</v>
      </c>
      <c r="D82" s="106">
        <v>5167</v>
      </c>
      <c r="E82" s="108">
        <v>6171010000009</v>
      </c>
      <c r="F82" s="109" t="s">
        <v>59</v>
      </c>
      <c r="G82" s="96">
        <f>530+30</f>
        <v>560</v>
      </c>
      <c r="I82" s="96">
        <v>200</v>
      </c>
      <c r="J82" s="96">
        <v>240.74</v>
      </c>
      <c r="K82" s="96">
        <v>284.80200000000002</v>
      </c>
      <c r="L82" s="96">
        <v>164.28100000000001</v>
      </c>
    </row>
    <row r="83" spans="1:12" x14ac:dyDescent="0.2">
      <c r="A83" s="106">
        <v>100</v>
      </c>
      <c r="B83" s="107" t="s">
        <v>50</v>
      </c>
      <c r="C83" s="106">
        <v>6171</v>
      </c>
      <c r="D83" s="106">
        <v>5169</v>
      </c>
      <c r="E83" s="108">
        <v>6171010000001</v>
      </c>
      <c r="F83" s="109" t="s">
        <v>513</v>
      </c>
      <c r="G83" s="96">
        <v>250</v>
      </c>
      <c r="I83" s="96"/>
      <c r="J83" s="96">
        <v>190.101</v>
      </c>
      <c r="K83" s="96">
        <v>221.428</v>
      </c>
      <c r="L83" s="96">
        <v>176.07900000000001</v>
      </c>
    </row>
    <row r="84" spans="1:12" x14ac:dyDescent="0.2">
      <c r="A84" s="106">
        <v>100</v>
      </c>
      <c r="B84" s="107" t="s">
        <v>50</v>
      </c>
      <c r="C84" s="106">
        <v>6171</v>
      </c>
      <c r="D84" s="106">
        <v>5169</v>
      </c>
      <c r="E84" s="108">
        <v>6171010000001</v>
      </c>
      <c r="F84" s="109" t="s">
        <v>514</v>
      </c>
      <c r="G84" s="96">
        <f>270+8</f>
        <v>278</v>
      </c>
      <c r="I84" s="96">
        <v>622</v>
      </c>
      <c r="J84" s="96">
        <f>320.172-J83</f>
        <v>130.07100000000003</v>
      </c>
      <c r="K84" s="96">
        <f>659.572-K83</f>
        <v>438.14400000000001</v>
      </c>
      <c r="L84" s="96">
        <f>353.999-L83</f>
        <v>177.92000000000002</v>
      </c>
    </row>
    <row r="85" spans="1:12" x14ac:dyDescent="0.2">
      <c r="A85" s="106">
        <v>100</v>
      </c>
      <c r="B85" s="107" t="s">
        <v>50</v>
      </c>
      <c r="C85" s="106">
        <v>6171</v>
      </c>
      <c r="D85" s="106">
        <v>5173</v>
      </c>
      <c r="E85" s="108">
        <v>6171010000001</v>
      </c>
      <c r="F85" s="109" t="s">
        <v>60</v>
      </c>
      <c r="G85" s="96">
        <v>30</v>
      </c>
      <c r="I85" s="96">
        <v>30</v>
      </c>
      <c r="J85" s="96">
        <v>9.7629999999999999</v>
      </c>
      <c r="K85" s="96">
        <v>19.826000000000001</v>
      </c>
      <c r="L85" s="96">
        <v>23.321999999999999</v>
      </c>
    </row>
    <row r="86" spans="1:12" x14ac:dyDescent="0.2">
      <c r="A86" s="106">
        <v>100</v>
      </c>
      <c r="B86" s="107" t="s">
        <v>50</v>
      </c>
      <c r="C86" s="106">
        <v>6171</v>
      </c>
      <c r="D86" s="106">
        <v>5175</v>
      </c>
      <c r="E86" s="108">
        <v>6171010000001</v>
      </c>
      <c r="F86" s="109" t="s">
        <v>28</v>
      </c>
      <c r="G86" s="96">
        <v>15</v>
      </c>
      <c r="I86" s="96">
        <v>15</v>
      </c>
      <c r="J86" s="96">
        <v>10.449</v>
      </c>
      <c r="K86" s="96">
        <v>5.82</v>
      </c>
      <c r="L86" s="96">
        <v>60.725999999999999</v>
      </c>
    </row>
    <row r="87" spans="1:12" x14ac:dyDescent="0.2">
      <c r="A87" s="106">
        <v>100</v>
      </c>
      <c r="B87" s="107" t="s">
        <v>50</v>
      </c>
      <c r="C87" s="106">
        <v>6171</v>
      </c>
      <c r="D87" s="106">
        <v>5176</v>
      </c>
      <c r="E87" s="108">
        <v>6171010000001</v>
      </c>
      <c r="F87" s="109" t="s">
        <v>61</v>
      </c>
      <c r="G87" s="96">
        <v>15</v>
      </c>
      <c r="I87" s="96">
        <v>10</v>
      </c>
      <c r="J87" s="96">
        <v>4.25</v>
      </c>
      <c r="K87" s="96">
        <v>0</v>
      </c>
      <c r="L87" s="96">
        <v>0</v>
      </c>
    </row>
    <row r="88" spans="1:12" x14ac:dyDescent="0.2">
      <c r="A88" s="106">
        <v>100</v>
      </c>
      <c r="B88" s="107" t="s">
        <v>50</v>
      </c>
      <c r="C88" s="106">
        <v>6171</v>
      </c>
      <c r="D88" s="106">
        <v>5179</v>
      </c>
      <c r="E88" s="108">
        <v>6171010000001</v>
      </c>
      <c r="F88" s="109" t="s">
        <v>62</v>
      </c>
      <c r="G88" s="96">
        <v>2</v>
      </c>
      <c r="I88" s="96">
        <v>2</v>
      </c>
      <c r="J88" s="96">
        <v>0</v>
      </c>
      <c r="K88" s="96">
        <v>0</v>
      </c>
      <c r="L88" s="96">
        <v>0</v>
      </c>
    </row>
    <row r="89" spans="1:12" x14ac:dyDescent="0.2">
      <c r="A89" s="106">
        <v>100</v>
      </c>
      <c r="B89" s="107" t="s">
        <v>50</v>
      </c>
      <c r="C89" s="106">
        <v>6171</v>
      </c>
      <c r="D89" s="106">
        <v>5195</v>
      </c>
      <c r="E89" s="108">
        <v>6171010000001</v>
      </c>
      <c r="F89" s="109" t="s">
        <v>63</v>
      </c>
      <c r="G89" s="96">
        <v>100</v>
      </c>
      <c r="I89" s="96">
        <v>100</v>
      </c>
      <c r="J89" s="96">
        <v>0</v>
      </c>
      <c r="K89" s="96">
        <v>0</v>
      </c>
      <c r="L89" s="96">
        <v>58.546999999999997</v>
      </c>
    </row>
    <row r="90" spans="1:12" x14ac:dyDescent="0.2">
      <c r="A90" s="106">
        <v>100</v>
      </c>
      <c r="B90" s="107" t="s">
        <v>50</v>
      </c>
      <c r="C90" s="106">
        <v>6171</v>
      </c>
      <c r="D90" s="106">
        <v>5901</v>
      </c>
      <c r="E90" s="108">
        <v>6171010000001</v>
      </c>
      <c r="F90" s="109" t="s">
        <v>405</v>
      </c>
      <c r="G90" s="96">
        <f>150+40</f>
        <v>190</v>
      </c>
      <c r="I90" s="96">
        <v>150</v>
      </c>
      <c r="J90" s="96">
        <v>0</v>
      </c>
      <c r="K90" s="96">
        <v>0</v>
      </c>
      <c r="L90" s="96">
        <v>0</v>
      </c>
    </row>
    <row r="91" spans="1:12" x14ac:dyDescent="0.2">
      <c r="A91" s="106">
        <v>100</v>
      </c>
      <c r="B91" s="107" t="s">
        <v>50</v>
      </c>
      <c r="C91" s="106">
        <v>6171</v>
      </c>
      <c r="D91" s="106">
        <v>5901</v>
      </c>
      <c r="E91" s="108">
        <v>6171010000001</v>
      </c>
      <c r="F91" s="109" t="s">
        <v>64</v>
      </c>
      <c r="G91" s="96">
        <v>500</v>
      </c>
      <c r="I91" s="96">
        <v>500</v>
      </c>
      <c r="J91" s="96">
        <v>0</v>
      </c>
      <c r="K91" s="96">
        <v>0</v>
      </c>
      <c r="L91" s="96">
        <v>0</v>
      </c>
    </row>
    <row r="92" spans="1:12" x14ac:dyDescent="0.2">
      <c r="A92" s="106">
        <v>100</v>
      </c>
      <c r="B92" s="107" t="s">
        <v>410</v>
      </c>
      <c r="C92" s="106">
        <v>6171</v>
      </c>
      <c r="D92" s="106">
        <v>5499</v>
      </c>
      <c r="E92" s="108">
        <v>6171010000001</v>
      </c>
      <c r="F92" s="109" t="s">
        <v>430</v>
      </c>
      <c r="G92" s="96">
        <v>3100</v>
      </c>
      <c r="I92" s="96">
        <v>3100</v>
      </c>
      <c r="J92" s="96">
        <v>1485.4739999999999</v>
      </c>
      <c r="K92" s="96">
        <v>2387.4520000000002</v>
      </c>
      <c r="L92" s="96">
        <v>2273.7130000000002</v>
      </c>
    </row>
    <row r="93" spans="1:12" ht="13.5" thickBot="1" x14ac:dyDescent="0.25">
      <c r="A93" s="106"/>
      <c r="B93" s="107"/>
      <c r="C93" s="106"/>
      <c r="D93" s="106"/>
      <c r="E93" s="108"/>
      <c r="F93" s="109" t="s">
        <v>503</v>
      </c>
      <c r="G93" s="96"/>
      <c r="I93" s="96"/>
      <c r="J93" s="96">
        <f>2.35</f>
        <v>2.35</v>
      </c>
      <c r="K93" s="96">
        <f>2.339+6.05</f>
        <v>8.3889999999999993</v>
      </c>
      <c r="L93" s="96">
        <f>17.545+2.768+2.673</f>
        <v>22.986000000000004</v>
      </c>
    </row>
    <row r="94" spans="1:12" x14ac:dyDescent="0.2">
      <c r="A94" s="110"/>
      <c r="B94" s="111" t="s">
        <v>17</v>
      </c>
      <c r="C94" s="112">
        <v>6171</v>
      </c>
      <c r="D94" s="113"/>
      <c r="E94" s="114"/>
      <c r="F94" s="115"/>
      <c r="G94" s="116">
        <f>SUM(G75:G93)</f>
        <v>14160</v>
      </c>
      <c r="I94" s="116">
        <f>SUM(I75:I93)</f>
        <v>11522</v>
      </c>
      <c r="J94" s="116">
        <f>SUM(J75:J93)</f>
        <v>7328.2859999999991</v>
      </c>
      <c r="K94" s="116">
        <f>SUM(K75:K93)</f>
        <v>9097.1189999999988</v>
      </c>
      <c r="L94" s="116">
        <f>SUM(L75:L93)</f>
        <v>7702.7749999999987</v>
      </c>
    </row>
    <row r="95" spans="1:12" x14ac:dyDescent="0.2">
      <c r="A95" s="117"/>
      <c r="B95" s="118"/>
      <c r="C95" s="119"/>
      <c r="D95" s="120"/>
      <c r="E95" s="121"/>
      <c r="F95" s="122"/>
      <c r="G95" s="123"/>
      <c r="I95" s="123"/>
      <c r="J95" s="123"/>
      <c r="K95" s="123"/>
      <c r="L95" s="123"/>
    </row>
    <row r="96" spans="1:12" x14ac:dyDescent="0.2">
      <c r="A96" s="106">
        <v>100</v>
      </c>
      <c r="B96" s="107" t="s">
        <v>428</v>
      </c>
      <c r="C96" s="106">
        <v>6171</v>
      </c>
      <c r="D96" s="106">
        <v>5169</v>
      </c>
      <c r="E96" s="108">
        <v>6171010000004</v>
      </c>
      <c r="F96" s="109" t="s">
        <v>429</v>
      </c>
      <c r="G96" s="96">
        <v>3000</v>
      </c>
      <c r="I96" s="96">
        <v>2500</v>
      </c>
      <c r="J96" s="96">
        <v>1571.7750000000001</v>
      </c>
      <c r="K96" s="96">
        <v>2205</v>
      </c>
      <c r="L96" s="96">
        <v>1005.75</v>
      </c>
    </row>
    <row r="97" spans="1:12" ht="13.5" thickBot="1" x14ac:dyDescent="0.25">
      <c r="A97" s="106">
        <v>100</v>
      </c>
      <c r="B97" s="107" t="s">
        <v>428</v>
      </c>
      <c r="C97" s="106">
        <v>6171</v>
      </c>
      <c r="D97" s="106">
        <v>5499</v>
      </c>
      <c r="E97" s="108">
        <v>6171010000004</v>
      </c>
      <c r="F97" s="109" t="s">
        <v>431</v>
      </c>
      <c r="G97" s="96">
        <v>3000</v>
      </c>
      <c r="I97" s="96">
        <v>2500</v>
      </c>
      <c r="J97" s="96">
        <v>1571.7750000000001</v>
      </c>
      <c r="K97" s="96">
        <v>1839.8</v>
      </c>
      <c r="L97" s="96">
        <v>1005.75</v>
      </c>
    </row>
    <row r="98" spans="1:12" x14ac:dyDescent="0.2">
      <c r="A98" s="110"/>
      <c r="B98" s="111" t="s">
        <v>17</v>
      </c>
      <c r="C98" s="112">
        <v>6171</v>
      </c>
      <c r="D98" s="113"/>
      <c r="E98" s="114"/>
      <c r="F98" s="115"/>
      <c r="G98" s="116">
        <f>SUM(G96:G97)</f>
        <v>6000</v>
      </c>
      <c r="I98" s="116">
        <f>SUM(I96:I97)</f>
        <v>5000</v>
      </c>
      <c r="J98" s="116">
        <f>SUM(J96:J97)</f>
        <v>3143.55</v>
      </c>
      <c r="K98" s="116">
        <f>SUM(K96:K97)</f>
        <v>4044.8</v>
      </c>
      <c r="L98" s="116">
        <f>SUM(L96:L97)</f>
        <v>2011.5</v>
      </c>
    </row>
    <row r="100" spans="1:12" x14ac:dyDescent="0.2">
      <c r="A100" s="124"/>
      <c r="B100" s="125" t="s">
        <v>65</v>
      </c>
      <c r="C100" s="126"/>
      <c r="D100" s="127"/>
      <c r="E100" s="128"/>
      <c r="F100" s="129"/>
      <c r="G100" s="130">
        <f>SUM(G98,G94,G73,G66,G59,G39,G31,G26,G20)</f>
        <v>26081</v>
      </c>
      <c r="I100" s="130">
        <f>SUM(I98,I94,I73,I66,I59,I39,I31,I26,I20)</f>
        <v>22481.7</v>
      </c>
      <c r="J100" s="130">
        <f>SUM(J98,J94,J73,J66,J59,J39,J31,J26,J20)</f>
        <v>13953.232999999998</v>
      </c>
      <c r="K100" s="130">
        <f>SUM(K98,K94,K73,K66,K59,K39,K31,K26,K20)</f>
        <v>17733.302</v>
      </c>
      <c r="L100" s="130">
        <f>SUM(L98,L94,L73,L66,L59,L39,L31,L26,L20)</f>
        <v>14439.069999999996</v>
      </c>
    </row>
    <row r="103" spans="1:12" x14ac:dyDescent="0.2">
      <c r="A103" s="106">
        <v>200</v>
      </c>
      <c r="B103" s="107" t="s">
        <v>66</v>
      </c>
      <c r="C103" s="106">
        <v>6171</v>
      </c>
      <c r="D103" s="106">
        <v>5011</v>
      </c>
      <c r="E103" s="108">
        <v>6171020000001</v>
      </c>
      <c r="F103" s="109" t="s">
        <v>51</v>
      </c>
      <c r="G103" s="96">
        <v>4400</v>
      </c>
      <c r="I103" s="96">
        <v>3891</v>
      </c>
      <c r="J103" s="96">
        <v>2898.569</v>
      </c>
      <c r="K103" s="96">
        <v>3276.2510000000002</v>
      </c>
      <c r="L103" s="96">
        <v>3326.125</v>
      </c>
    </row>
    <row r="104" spans="1:12" x14ac:dyDescent="0.2">
      <c r="A104" s="106">
        <v>200</v>
      </c>
      <c r="B104" s="107" t="s">
        <v>66</v>
      </c>
      <c r="C104" s="106">
        <v>6171</v>
      </c>
      <c r="D104" s="106">
        <v>5021</v>
      </c>
      <c r="E104" s="108">
        <v>6171020000001</v>
      </c>
      <c r="F104" s="109" t="s">
        <v>67</v>
      </c>
      <c r="G104" s="96">
        <v>100</v>
      </c>
      <c r="I104" s="96">
        <v>200</v>
      </c>
      <c r="J104" s="96">
        <v>99.998999999999995</v>
      </c>
      <c r="K104" s="96">
        <v>281.24400000000003</v>
      </c>
      <c r="L104" s="96">
        <v>211.11199999999999</v>
      </c>
    </row>
    <row r="105" spans="1:12" x14ac:dyDescent="0.2">
      <c r="A105" s="106">
        <v>200</v>
      </c>
      <c r="B105" s="107" t="s">
        <v>66</v>
      </c>
      <c r="C105" s="106">
        <v>6171</v>
      </c>
      <c r="D105" s="106">
        <v>5031</v>
      </c>
      <c r="E105" s="108">
        <v>6171020000001</v>
      </c>
      <c r="F105" s="109" t="s">
        <v>68</v>
      </c>
      <c r="G105" s="96">
        <v>1092</v>
      </c>
      <c r="I105" s="96">
        <v>973</v>
      </c>
      <c r="J105" s="96">
        <v>708</v>
      </c>
      <c r="K105" s="96">
        <v>813.36500000000001</v>
      </c>
      <c r="L105" s="96">
        <v>866.22199999999998</v>
      </c>
    </row>
    <row r="106" spans="1:12" x14ac:dyDescent="0.2">
      <c r="A106" s="106">
        <v>200</v>
      </c>
      <c r="B106" s="107" t="s">
        <v>66</v>
      </c>
      <c r="C106" s="106">
        <v>6171</v>
      </c>
      <c r="D106" s="106">
        <v>5032</v>
      </c>
      <c r="E106" s="108">
        <v>6171020000001</v>
      </c>
      <c r="F106" s="109" t="s">
        <v>69</v>
      </c>
      <c r="G106" s="96">
        <v>396</v>
      </c>
      <c r="I106" s="96">
        <v>350</v>
      </c>
      <c r="J106" s="96">
        <v>257.65800000000002</v>
      </c>
      <c r="K106" s="96">
        <v>293.90899999999999</v>
      </c>
      <c r="L106" s="96">
        <v>312.93400000000003</v>
      </c>
    </row>
    <row r="107" spans="1:12" x14ac:dyDescent="0.2">
      <c r="A107" s="106">
        <v>200</v>
      </c>
      <c r="B107" s="107" t="s">
        <v>66</v>
      </c>
      <c r="C107" s="106">
        <v>6171</v>
      </c>
      <c r="D107" s="106">
        <v>5132</v>
      </c>
      <c r="E107" s="108">
        <v>6171020000001</v>
      </c>
      <c r="F107" s="109" t="s">
        <v>71</v>
      </c>
      <c r="G107" s="96">
        <v>0</v>
      </c>
      <c r="I107" s="96">
        <v>5</v>
      </c>
      <c r="J107" s="96">
        <v>0</v>
      </c>
      <c r="K107" s="96">
        <v>1.522</v>
      </c>
      <c r="L107" s="96">
        <v>0</v>
      </c>
    </row>
    <row r="108" spans="1:12" x14ac:dyDescent="0.2">
      <c r="A108" s="106">
        <v>200</v>
      </c>
      <c r="B108" s="107" t="s">
        <v>66</v>
      </c>
      <c r="C108" s="106">
        <v>6171</v>
      </c>
      <c r="D108" s="106">
        <v>5134</v>
      </c>
      <c r="E108" s="108">
        <v>6171020000001</v>
      </c>
      <c r="F108" s="109" t="s">
        <v>254</v>
      </c>
      <c r="G108" s="96">
        <v>2</v>
      </c>
      <c r="I108" s="96">
        <v>5</v>
      </c>
      <c r="J108" s="96">
        <v>0</v>
      </c>
      <c r="K108" s="96">
        <v>0</v>
      </c>
      <c r="L108" s="96">
        <v>0</v>
      </c>
    </row>
    <row r="109" spans="1:12" x14ac:dyDescent="0.2">
      <c r="A109" s="106">
        <v>200</v>
      </c>
      <c r="B109" s="107" t="s">
        <v>66</v>
      </c>
      <c r="C109" s="106">
        <v>6171</v>
      </c>
      <c r="D109" s="106">
        <v>5136</v>
      </c>
      <c r="E109" s="108">
        <v>6171020000001</v>
      </c>
      <c r="F109" s="109" t="s">
        <v>55</v>
      </c>
      <c r="G109" s="96">
        <v>2</v>
      </c>
      <c r="I109" s="96">
        <v>5</v>
      </c>
      <c r="J109" s="96">
        <v>0</v>
      </c>
      <c r="K109" s="96">
        <v>3.98</v>
      </c>
      <c r="L109" s="96">
        <v>0.97799999999999998</v>
      </c>
    </row>
    <row r="110" spans="1:12" x14ac:dyDescent="0.2">
      <c r="A110" s="106">
        <v>200</v>
      </c>
      <c r="B110" s="107" t="s">
        <v>66</v>
      </c>
      <c r="C110" s="106">
        <v>6171</v>
      </c>
      <c r="D110" s="106">
        <v>5139</v>
      </c>
      <c r="E110" s="108">
        <v>6171020000001</v>
      </c>
      <c r="F110" s="109" t="s">
        <v>56</v>
      </c>
      <c r="G110" s="96">
        <v>5</v>
      </c>
      <c r="I110" s="96">
        <v>10</v>
      </c>
      <c r="J110" s="96">
        <v>0.15</v>
      </c>
      <c r="K110" s="96">
        <v>5.8849999999999998</v>
      </c>
      <c r="L110" s="96">
        <v>0</v>
      </c>
    </row>
    <row r="111" spans="1:12" x14ac:dyDescent="0.2">
      <c r="A111" s="106">
        <v>200</v>
      </c>
      <c r="B111" s="107" t="s">
        <v>66</v>
      </c>
      <c r="C111" s="106">
        <v>6171</v>
      </c>
      <c r="D111" s="106">
        <v>5167</v>
      </c>
      <c r="E111" s="108">
        <v>6171020000001</v>
      </c>
      <c r="F111" s="109" t="s">
        <v>87</v>
      </c>
      <c r="G111" s="96">
        <v>60</v>
      </c>
      <c r="I111" s="96">
        <v>20</v>
      </c>
      <c r="J111" s="96">
        <v>30.584</v>
      </c>
      <c r="K111" s="96">
        <v>13.135</v>
      </c>
      <c r="L111" s="96">
        <v>56.017000000000003</v>
      </c>
    </row>
    <row r="112" spans="1:12" x14ac:dyDescent="0.2">
      <c r="A112" s="106">
        <v>200</v>
      </c>
      <c r="B112" s="107" t="s">
        <v>66</v>
      </c>
      <c r="C112" s="106">
        <v>6171</v>
      </c>
      <c r="D112" s="106">
        <v>5168</v>
      </c>
      <c r="E112" s="108">
        <v>6171020000001</v>
      </c>
      <c r="F112" s="109" t="s">
        <v>88</v>
      </c>
      <c r="G112" s="96">
        <v>7</v>
      </c>
      <c r="I112" s="96">
        <v>7</v>
      </c>
      <c r="J112" s="96">
        <v>2.831</v>
      </c>
      <c r="K112" s="96">
        <v>5.6619999999999999</v>
      </c>
      <c r="L112" s="96">
        <v>0</v>
      </c>
    </row>
    <row r="113" spans="1:12" x14ac:dyDescent="0.2">
      <c r="A113" s="106">
        <v>200</v>
      </c>
      <c r="B113" s="107" t="s">
        <v>66</v>
      </c>
      <c r="C113" s="106">
        <v>6171</v>
      </c>
      <c r="D113" s="106">
        <v>5173</v>
      </c>
      <c r="E113" s="108">
        <v>6171020000001</v>
      </c>
      <c r="F113" s="109" t="s">
        <v>60</v>
      </c>
      <c r="G113" s="96">
        <v>20</v>
      </c>
      <c r="I113" s="96">
        <v>20</v>
      </c>
      <c r="J113" s="96">
        <v>9.51</v>
      </c>
      <c r="K113" s="96">
        <v>15.92</v>
      </c>
      <c r="L113" s="96">
        <v>23.244</v>
      </c>
    </row>
    <row r="114" spans="1:12" x14ac:dyDescent="0.2">
      <c r="A114" s="106">
        <v>200</v>
      </c>
      <c r="B114" s="107" t="s">
        <v>66</v>
      </c>
      <c r="C114" s="106">
        <v>6171</v>
      </c>
      <c r="D114" s="106">
        <v>5175</v>
      </c>
      <c r="E114" s="108">
        <v>6171020000001</v>
      </c>
      <c r="F114" s="109" t="s">
        <v>28</v>
      </c>
      <c r="G114" s="96">
        <v>3</v>
      </c>
      <c r="I114" s="96">
        <v>3</v>
      </c>
      <c r="J114" s="96">
        <v>2.536</v>
      </c>
      <c r="K114" s="96">
        <v>0</v>
      </c>
      <c r="L114" s="96">
        <v>0</v>
      </c>
    </row>
    <row r="115" spans="1:12" ht="13.5" thickBot="1" x14ac:dyDescent="0.25">
      <c r="A115" s="106"/>
      <c r="B115" s="107"/>
      <c r="C115" s="106"/>
      <c r="D115" s="106"/>
      <c r="E115" s="108"/>
      <c r="F115" s="109" t="s">
        <v>503</v>
      </c>
      <c r="G115" s="96"/>
      <c r="I115" s="96"/>
      <c r="J115" s="96"/>
      <c r="K115" s="96"/>
      <c r="L115" s="96"/>
    </row>
    <row r="116" spans="1:12" x14ac:dyDescent="0.2">
      <c r="A116" s="110"/>
      <c r="B116" s="111" t="s">
        <v>17</v>
      </c>
      <c r="C116" s="112">
        <v>6171</v>
      </c>
      <c r="D116" s="113"/>
      <c r="E116" s="114"/>
      <c r="F116" s="115"/>
      <c r="G116" s="116">
        <f>SUM(G103:G115)</f>
        <v>6087</v>
      </c>
      <c r="I116" s="116">
        <f>SUM(I103:I115)</f>
        <v>5489</v>
      </c>
      <c r="J116" s="116">
        <f>SUM(J103:J115)</f>
        <v>4009.837</v>
      </c>
      <c r="K116" s="116">
        <f>SUM(K103:K115)</f>
        <v>4710.8730000000005</v>
      </c>
      <c r="L116" s="116">
        <f>SUM(L103:L115)</f>
        <v>4796.6319999999996</v>
      </c>
    </row>
    <row r="117" spans="1:12" x14ac:dyDescent="0.2">
      <c r="A117" s="106"/>
      <c r="B117" s="107"/>
      <c r="C117" s="106"/>
      <c r="D117" s="106"/>
      <c r="E117" s="108"/>
      <c r="F117" s="109"/>
      <c r="G117" s="96"/>
      <c r="I117" s="96"/>
      <c r="J117" s="96"/>
      <c r="K117" s="96"/>
      <c r="L117" s="96"/>
    </row>
    <row r="118" spans="1:12" x14ac:dyDescent="0.2">
      <c r="A118" s="106">
        <v>200</v>
      </c>
      <c r="B118" s="107" t="s">
        <v>517</v>
      </c>
      <c r="C118" s="106">
        <v>6171</v>
      </c>
      <c r="D118" s="106">
        <v>5041</v>
      </c>
      <c r="E118" s="108">
        <v>6171000000001</v>
      </c>
      <c r="F118" s="109" t="s">
        <v>70</v>
      </c>
      <c r="G118" s="96">
        <v>20</v>
      </c>
      <c r="I118" s="96">
        <v>20</v>
      </c>
      <c r="J118" s="96">
        <f>0.027-9.432</f>
        <v>-9.4050000000000011</v>
      </c>
      <c r="K118" s="96">
        <v>18.899999999999999</v>
      </c>
      <c r="L118" s="96">
        <v>18.393999999999998</v>
      </c>
    </row>
    <row r="119" spans="1:12" x14ac:dyDescent="0.2">
      <c r="A119" s="106">
        <v>200</v>
      </c>
      <c r="B119" s="107" t="s">
        <v>517</v>
      </c>
      <c r="C119" s="106">
        <v>6171</v>
      </c>
      <c r="D119" s="106">
        <v>5132</v>
      </c>
      <c r="E119" s="108">
        <v>6171000000001</v>
      </c>
      <c r="F119" s="109" t="s">
        <v>33</v>
      </c>
      <c r="G119" s="96">
        <v>300</v>
      </c>
      <c r="I119" s="96">
        <v>300</v>
      </c>
      <c r="J119" s="96">
        <v>242.857</v>
      </c>
      <c r="K119" s="96">
        <v>79.209999999999994</v>
      </c>
      <c r="L119" s="96">
        <v>0</v>
      </c>
    </row>
    <row r="120" spans="1:12" x14ac:dyDescent="0.2">
      <c r="A120" s="106">
        <v>200</v>
      </c>
      <c r="B120" s="107" t="s">
        <v>518</v>
      </c>
      <c r="C120" s="106">
        <v>6171</v>
      </c>
      <c r="D120" s="106">
        <v>5137</v>
      </c>
      <c r="E120" s="108">
        <v>6171000000101</v>
      </c>
      <c r="F120" s="109" t="s">
        <v>519</v>
      </c>
      <c r="G120" s="96">
        <v>120</v>
      </c>
      <c r="I120" s="96">
        <v>0</v>
      </c>
      <c r="J120" s="96">
        <v>27.777000000000001</v>
      </c>
      <c r="K120" s="96">
        <v>67.706999999999994</v>
      </c>
      <c r="L120" s="96">
        <v>120.307</v>
      </c>
    </row>
    <row r="121" spans="1:12" x14ac:dyDescent="0.2">
      <c r="A121" s="106">
        <v>200</v>
      </c>
      <c r="B121" s="107" t="s">
        <v>520</v>
      </c>
      <c r="C121" s="106">
        <v>6171</v>
      </c>
      <c r="D121" s="106">
        <v>5137</v>
      </c>
      <c r="E121" s="108">
        <v>6171000000102</v>
      </c>
      <c r="F121" s="109" t="s">
        <v>521</v>
      </c>
      <c r="G121" s="96">
        <v>50</v>
      </c>
      <c r="I121" s="96">
        <v>50</v>
      </c>
      <c r="J121" s="96">
        <v>8.9459999999999997</v>
      </c>
      <c r="K121" s="96">
        <f>190.858+18.06+36.269</f>
        <v>245.18700000000001</v>
      </c>
      <c r="L121" s="96">
        <v>80.274000000000001</v>
      </c>
    </row>
    <row r="122" spans="1:12" x14ac:dyDescent="0.2">
      <c r="A122" s="106">
        <v>200</v>
      </c>
      <c r="B122" s="107" t="s">
        <v>522</v>
      </c>
      <c r="C122" s="106">
        <v>6171</v>
      </c>
      <c r="D122" s="106">
        <v>5137</v>
      </c>
      <c r="E122" s="108">
        <v>6171000000103</v>
      </c>
      <c r="F122" s="109" t="s">
        <v>523</v>
      </c>
      <c r="G122" s="96">
        <v>30</v>
      </c>
      <c r="I122" s="96">
        <v>32</v>
      </c>
      <c r="J122" s="96">
        <v>23.49</v>
      </c>
      <c r="K122" s="96">
        <v>16.332999999999998</v>
      </c>
      <c r="L122" s="96">
        <v>0</v>
      </c>
    </row>
    <row r="123" spans="1:12" x14ac:dyDescent="0.2">
      <c r="A123" s="106">
        <v>200</v>
      </c>
      <c r="B123" s="107" t="s">
        <v>524</v>
      </c>
      <c r="C123" s="106">
        <v>6171</v>
      </c>
      <c r="D123" s="106">
        <v>5137</v>
      </c>
      <c r="E123" s="108">
        <v>6171000000104</v>
      </c>
      <c r="F123" s="109" t="s">
        <v>525</v>
      </c>
      <c r="G123" s="96">
        <v>20</v>
      </c>
      <c r="I123" s="96">
        <v>0</v>
      </c>
      <c r="J123" s="96">
        <v>0</v>
      </c>
      <c r="K123" s="96">
        <v>26.74</v>
      </c>
      <c r="L123" s="96">
        <v>10.866</v>
      </c>
    </row>
    <row r="124" spans="1:12" x14ac:dyDescent="0.2">
      <c r="A124" s="106">
        <v>200</v>
      </c>
      <c r="B124" s="107" t="s">
        <v>526</v>
      </c>
      <c r="C124" s="106">
        <v>6171</v>
      </c>
      <c r="D124" s="106">
        <v>5137</v>
      </c>
      <c r="E124" s="108">
        <v>6171000000105</v>
      </c>
      <c r="F124" s="109" t="s">
        <v>527</v>
      </c>
      <c r="G124" s="96">
        <v>100</v>
      </c>
      <c r="I124" s="96">
        <v>160</v>
      </c>
      <c r="J124" s="96">
        <v>47.45</v>
      </c>
      <c r="K124" s="96">
        <v>44.029000000000003</v>
      </c>
      <c r="L124" s="96">
        <v>78.941000000000003</v>
      </c>
    </row>
    <row r="125" spans="1:12" x14ac:dyDescent="0.2">
      <c r="A125" s="106">
        <v>200</v>
      </c>
      <c r="B125" s="107" t="s">
        <v>528</v>
      </c>
      <c r="C125" s="106">
        <v>6171</v>
      </c>
      <c r="D125" s="106">
        <v>5137</v>
      </c>
      <c r="E125" s="108">
        <v>6171000000106</v>
      </c>
      <c r="F125" s="109" t="s">
        <v>529</v>
      </c>
      <c r="G125" s="96">
        <v>40</v>
      </c>
      <c r="I125" s="96">
        <v>30</v>
      </c>
      <c r="J125" s="96">
        <v>29.428999999999998</v>
      </c>
      <c r="K125" s="96">
        <v>28.588999999999999</v>
      </c>
      <c r="L125" s="96">
        <v>42.591999999999999</v>
      </c>
    </row>
    <row r="126" spans="1:12" x14ac:dyDescent="0.2">
      <c r="A126" s="106">
        <v>200</v>
      </c>
      <c r="B126" s="107" t="s">
        <v>530</v>
      </c>
      <c r="C126" s="106">
        <v>6171</v>
      </c>
      <c r="D126" s="106">
        <v>5137</v>
      </c>
      <c r="E126" s="108">
        <v>6171000000107</v>
      </c>
      <c r="F126" s="109" t="s">
        <v>527</v>
      </c>
      <c r="G126" s="96">
        <v>300</v>
      </c>
      <c r="I126" s="96">
        <v>380</v>
      </c>
      <c r="J126" s="96">
        <v>76.748999999999995</v>
      </c>
      <c r="K126" s="96">
        <v>8.4879999999999995</v>
      </c>
      <c r="L126" s="96">
        <v>0</v>
      </c>
    </row>
    <row r="127" spans="1:12" x14ac:dyDescent="0.2">
      <c r="A127" s="106">
        <v>200</v>
      </c>
      <c r="B127" s="107" t="s">
        <v>531</v>
      </c>
      <c r="C127" s="106">
        <v>6171</v>
      </c>
      <c r="D127" s="106">
        <v>5137</v>
      </c>
      <c r="E127" s="108">
        <v>6171000000109</v>
      </c>
      <c r="F127" s="109" t="s">
        <v>523</v>
      </c>
      <c r="G127" s="96">
        <v>55</v>
      </c>
      <c r="I127" s="96">
        <v>0</v>
      </c>
      <c r="J127" s="96">
        <v>0</v>
      </c>
      <c r="K127" s="96">
        <v>127.791</v>
      </c>
      <c r="L127" s="96">
        <v>10.949</v>
      </c>
    </row>
    <row r="128" spans="1:12" x14ac:dyDescent="0.2">
      <c r="A128" s="106">
        <v>200</v>
      </c>
      <c r="B128" s="107" t="s">
        <v>532</v>
      </c>
      <c r="C128" s="106">
        <v>6171</v>
      </c>
      <c r="D128" s="106">
        <v>5137</v>
      </c>
      <c r="E128" s="108">
        <v>6171000000110</v>
      </c>
      <c r="F128" s="109" t="s">
        <v>533</v>
      </c>
      <c r="G128" s="96">
        <v>200</v>
      </c>
      <c r="I128" s="96">
        <v>0</v>
      </c>
      <c r="J128" s="96">
        <v>3.3380000000000001</v>
      </c>
      <c r="K128" s="96">
        <v>0</v>
      </c>
      <c r="L128" s="96">
        <v>10.648</v>
      </c>
    </row>
    <row r="129" spans="1:12" x14ac:dyDescent="0.2">
      <c r="A129" s="106">
        <v>200</v>
      </c>
      <c r="B129" s="107" t="s">
        <v>534</v>
      </c>
      <c r="C129" s="106">
        <v>6171</v>
      </c>
      <c r="D129" s="106">
        <v>5137</v>
      </c>
      <c r="E129" s="108">
        <v>6171000000111</v>
      </c>
      <c r="F129" s="109" t="s">
        <v>523</v>
      </c>
      <c r="G129" s="96">
        <v>10</v>
      </c>
      <c r="I129" s="96">
        <v>0</v>
      </c>
      <c r="J129" s="96">
        <v>12.564</v>
      </c>
      <c r="K129" s="96">
        <v>11.438000000000001</v>
      </c>
      <c r="L129" s="96">
        <v>0</v>
      </c>
    </row>
    <row r="130" spans="1:12" x14ac:dyDescent="0.2">
      <c r="A130" s="106">
        <v>200</v>
      </c>
      <c r="B130" s="107" t="s">
        <v>535</v>
      </c>
      <c r="C130" s="106">
        <v>6171</v>
      </c>
      <c r="D130" s="106">
        <v>5137</v>
      </c>
      <c r="E130" s="108">
        <v>6171000000115</v>
      </c>
      <c r="F130" s="109" t="s">
        <v>527</v>
      </c>
      <c r="G130" s="96">
        <v>125</v>
      </c>
      <c r="I130" s="96">
        <v>80</v>
      </c>
      <c r="J130" s="96">
        <v>23.068000000000001</v>
      </c>
      <c r="K130" s="96">
        <v>58.6</v>
      </c>
      <c r="L130" s="96">
        <v>32.066000000000003</v>
      </c>
    </row>
    <row r="131" spans="1:12" x14ac:dyDescent="0.2">
      <c r="A131" s="106">
        <v>200</v>
      </c>
      <c r="B131" s="107" t="s">
        <v>536</v>
      </c>
      <c r="C131" s="106">
        <v>6171</v>
      </c>
      <c r="D131" s="106">
        <v>5137</v>
      </c>
      <c r="E131" s="108">
        <v>6171000000116</v>
      </c>
      <c r="F131" s="109" t="s">
        <v>525</v>
      </c>
      <c r="G131" s="96">
        <v>80</v>
      </c>
      <c r="I131" s="96">
        <v>114</v>
      </c>
      <c r="J131" s="96">
        <v>54.17</v>
      </c>
      <c r="K131" s="96">
        <v>44.045999999999999</v>
      </c>
      <c r="L131" s="96">
        <v>9.7029999999999994</v>
      </c>
    </row>
    <row r="132" spans="1:12" x14ac:dyDescent="0.2">
      <c r="A132" s="106">
        <v>200</v>
      </c>
      <c r="B132" s="107" t="s">
        <v>537</v>
      </c>
      <c r="C132" s="106">
        <v>6171</v>
      </c>
      <c r="D132" s="106">
        <v>5137</v>
      </c>
      <c r="E132" s="108">
        <v>6171000000117</v>
      </c>
      <c r="F132" s="109" t="s">
        <v>533</v>
      </c>
      <c r="G132" s="96">
        <v>30</v>
      </c>
      <c r="I132" s="96">
        <v>10</v>
      </c>
      <c r="J132" s="96">
        <v>0</v>
      </c>
      <c r="K132" s="96">
        <v>0</v>
      </c>
      <c r="L132" s="96">
        <v>0</v>
      </c>
    </row>
    <row r="133" spans="1:12" x14ac:dyDescent="0.2">
      <c r="A133" s="106">
        <v>200</v>
      </c>
      <c r="B133" s="107" t="s">
        <v>517</v>
      </c>
      <c r="C133" s="106">
        <v>6171</v>
      </c>
      <c r="D133" s="106">
        <v>5139</v>
      </c>
      <c r="E133" s="108">
        <v>6171000000001</v>
      </c>
      <c r="F133" s="109" t="s">
        <v>72</v>
      </c>
      <c r="G133" s="96">
        <v>1500</v>
      </c>
      <c r="I133" s="96">
        <v>1200</v>
      </c>
      <c r="J133" s="96">
        <v>933.55799999999999</v>
      </c>
      <c r="K133" s="96">
        <v>1010.016</v>
      </c>
      <c r="L133" s="96">
        <v>898.88300000000004</v>
      </c>
    </row>
    <row r="134" spans="1:12" x14ac:dyDescent="0.2">
      <c r="A134" s="106">
        <v>200</v>
      </c>
      <c r="B134" s="107" t="s">
        <v>517</v>
      </c>
      <c r="C134" s="106">
        <v>6171</v>
      </c>
      <c r="D134" s="106">
        <v>5151</v>
      </c>
      <c r="E134" s="108">
        <v>6171000000001</v>
      </c>
      <c r="F134" s="109" t="s">
        <v>73</v>
      </c>
      <c r="G134" s="96">
        <v>150</v>
      </c>
      <c r="I134" s="96">
        <v>150</v>
      </c>
      <c r="J134" s="96">
        <v>120.983</v>
      </c>
      <c r="K134" s="96">
        <v>143.215</v>
      </c>
      <c r="L134" s="96">
        <v>133.79300000000001</v>
      </c>
    </row>
    <row r="135" spans="1:12" x14ac:dyDescent="0.2">
      <c r="A135" s="106">
        <v>200</v>
      </c>
      <c r="B135" s="107" t="s">
        <v>517</v>
      </c>
      <c r="C135" s="106">
        <v>6171</v>
      </c>
      <c r="D135" s="106">
        <v>5153</v>
      </c>
      <c r="E135" s="108">
        <v>6171000000001</v>
      </c>
      <c r="F135" s="109" t="s">
        <v>74</v>
      </c>
      <c r="G135" s="96">
        <f>2*420</f>
        <v>840</v>
      </c>
      <c r="I135" s="96">
        <v>420</v>
      </c>
      <c r="J135" s="96">
        <f>346.368-J136</f>
        <v>275.86799999999999</v>
      </c>
      <c r="K135" s="96">
        <v>320.66699999999997</v>
      </c>
      <c r="L135" s="96">
        <v>318.89</v>
      </c>
    </row>
    <row r="136" spans="1:12" x14ac:dyDescent="0.2">
      <c r="A136" s="106">
        <v>200</v>
      </c>
      <c r="B136" s="107" t="s">
        <v>517</v>
      </c>
      <c r="C136" s="106">
        <v>6171</v>
      </c>
      <c r="D136" s="106">
        <v>5153</v>
      </c>
      <c r="E136" s="108">
        <v>6171000000001</v>
      </c>
      <c r="F136" s="109" t="s">
        <v>75</v>
      </c>
      <c r="G136" s="96">
        <f>2*300</f>
        <v>600</v>
      </c>
      <c r="I136" s="96">
        <v>200</v>
      </c>
      <c r="J136" s="96">
        <v>70.5</v>
      </c>
      <c r="K136" s="96">
        <f>433.866-K135</f>
        <v>113.19900000000001</v>
      </c>
      <c r="L136" s="96">
        <v>129.16800000000001</v>
      </c>
    </row>
    <row r="137" spans="1:12" x14ac:dyDescent="0.2">
      <c r="A137" s="106">
        <v>200</v>
      </c>
      <c r="B137" s="107" t="s">
        <v>517</v>
      </c>
      <c r="C137" s="106">
        <v>6171</v>
      </c>
      <c r="D137" s="106">
        <v>5154</v>
      </c>
      <c r="E137" s="108">
        <v>6171000000001</v>
      </c>
      <c r="F137" s="109" t="s">
        <v>76</v>
      </c>
      <c r="G137" s="96">
        <f>2*680</f>
        <v>1360</v>
      </c>
      <c r="I137" s="96">
        <v>580</v>
      </c>
      <c r="J137" s="96">
        <f>733.604-J138</f>
        <v>363.11900000000003</v>
      </c>
      <c r="K137" s="96">
        <v>483.36500000000001</v>
      </c>
      <c r="L137" s="96">
        <v>444.166</v>
      </c>
    </row>
    <row r="138" spans="1:12" x14ac:dyDescent="0.2">
      <c r="A138" s="106">
        <v>200</v>
      </c>
      <c r="B138" s="107" t="s">
        <v>517</v>
      </c>
      <c r="C138" s="106">
        <v>6171</v>
      </c>
      <c r="D138" s="106">
        <v>5154</v>
      </c>
      <c r="E138" s="108">
        <v>6171000000001</v>
      </c>
      <c r="F138" s="109" t="s">
        <v>77</v>
      </c>
      <c r="G138" s="96">
        <f>2*520</f>
        <v>1040</v>
      </c>
      <c r="I138" s="96">
        <v>420</v>
      </c>
      <c r="J138" s="96">
        <v>370.48500000000001</v>
      </c>
      <c r="K138" s="96">
        <f>950.011-K137</f>
        <v>466.64599999999996</v>
      </c>
      <c r="L138" s="96">
        <v>270.04899999999998</v>
      </c>
    </row>
    <row r="139" spans="1:12" x14ac:dyDescent="0.2">
      <c r="A139" s="106">
        <v>200</v>
      </c>
      <c r="B139" s="107" t="s">
        <v>517</v>
      </c>
      <c r="C139" s="106">
        <v>6171</v>
      </c>
      <c r="D139" s="106">
        <v>5156</v>
      </c>
      <c r="E139" s="108">
        <v>6171000000001</v>
      </c>
      <c r="F139" s="109" t="s">
        <v>78</v>
      </c>
      <c r="G139" s="96">
        <v>40</v>
      </c>
      <c r="I139" s="96">
        <v>50</v>
      </c>
      <c r="J139" s="96">
        <f>74.847-SUM(J140:J141)</f>
        <v>0.77299999999999613</v>
      </c>
      <c r="K139" s="96">
        <f>98.415-K140-K141</f>
        <v>19.942000000000007</v>
      </c>
      <c r="L139" s="96">
        <f>156.642-SUM(L140:L141)</f>
        <v>49.067999999999984</v>
      </c>
    </row>
    <row r="140" spans="1:12" x14ac:dyDescent="0.2">
      <c r="A140" s="106">
        <v>200</v>
      </c>
      <c r="B140" s="107" t="s">
        <v>517</v>
      </c>
      <c r="C140" s="106">
        <v>6171</v>
      </c>
      <c r="D140" s="106">
        <v>5156</v>
      </c>
      <c r="E140" s="108">
        <v>6171000000001</v>
      </c>
      <c r="F140" s="109" t="s">
        <v>79</v>
      </c>
      <c r="G140" s="96">
        <v>30</v>
      </c>
      <c r="I140" s="96">
        <v>30</v>
      </c>
      <c r="J140" s="96">
        <v>22.317</v>
      </c>
      <c r="K140" s="96">
        <v>19.631</v>
      </c>
      <c r="L140" s="96">
        <v>27.82</v>
      </c>
    </row>
    <row r="141" spans="1:12" x14ac:dyDescent="0.2">
      <c r="A141" s="106">
        <v>200</v>
      </c>
      <c r="B141" s="107" t="s">
        <v>517</v>
      </c>
      <c r="C141" s="106">
        <v>6171</v>
      </c>
      <c r="D141" s="106">
        <v>5156</v>
      </c>
      <c r="E141" s="108">
        <v>6171000000001</v>
      </c>
      <c r="F141" s="109" t="s">
        <v>80</v>
      </c>
      <c r="G141" s="96">
        <v>80</v>
      </c>
      <c r="I141" s="96">
        <v>80</v>
      </c>
      <c r="J141" s="96">
        <v>51.756999999999998</v>
      </c>
      <c r="K141" s="96">
        <v>58.841999999999999</v>
      </c>
      <c r="L141" s="96">
        <v>79.754000000000005</v>
      </c>
    </row>
    <row r="142" spans="1:12" x14ac:dyDescent="0.2">
      <c r="A142" s="106">
        <v>200</v>
      </c>
      <c r="B142" s="107" t="s">
        <v>517</v>
      </c>
      <c r="C142" s="106">
        <v>6171</v>
      </c>
      <c r="D142" s="106">
        <v>5161</v>
      </c>
      <c r="E142" s="108">
        <v>6171000000001</v>
      </c>
      <c r="F142" s="109" t="s">
        <v>432</v>
      </c>
      <c r="G142" s="96">
        <v>1500</v>
      </c>
      <c r="I142" s="96">
        <v>1500</v>
      </c>
      <c r="J142" s="96">
        <f>2038.702-J143</f>
        <v>902.35599999999999</v>
      </c>
      <c r="K142" s="96">
        <f>3579.33-K143</f>
        <v>2375.3609999999999</v>
      </c>
      <c r="L142" s="96">
        <v>1564.3119999999999</v>
      </c>
    </row>
    <row r="143" spans="1:12" x14ac:dyDescent="0.2">
      <c r="A143" s="106">
        <v>200</v>
      </c>
      <c r="B143" s="107" t="s">
        <v>517</v>
      </c>
      <c r="C143" s="106">
        <v>6171</v>
      </c>
      <c r="D143" s="106">
        <v>5161</v>
      </c>
      <c r="E143" s="108">
        <v>6171000000001</v>
      </c>
      <c r="F143" s="109" t="s">
        <v>433</v>
      </c>
      <c r="G143" s="96">
        <v>2500</v>
      </c>
      <c r="I143" s="96">
        <v>4000</v>
      </c>
      <c r="J143" s="96">
        <v>1136.346</v>
      </c>
      <c r="K143" s="96">
        <v>1203.9690000000001</v>
      </c>
      <c r="L143" s="96">
        <v>0</v>
      </c>
    </row>
    <row r="144" spans="1:12" x14ac:dyDescent="0.2">
      <c r="A144" s="106">
        <v>200</v>
      </c>
      <c r="B144" s="107" t="s">
        <v>517</v>
      </c>
      <c r="C144" s="106">
        <v>6171</v>
      </c>
      <c r="D144" s="106">
        <v>5162</v>
      </c>
      <c r="E144" s="108">
        <v>6171000000001</v>
      </c>
      <c r="F144" s="109" t="s">
        <v>82</v>
      </c>
      <c r="G144" s="96">
        <v>360</v>
      </c>
      <c r="I144" s="96">
        <v>360</v>
      </c>
      <c r="J144" s="96">
        <f>444.873-SUM(J145:J147)</f>
        <v>241.21299999999999</v>
      </c>
      <c r="K144" s="96">
        <f>605.1-K145-K146-K147</f>
        <v>315.87600000000009</v>
      </c>
      <c r="L144" s="96">
        <f>570.255-SUM(L145:L147)</f>
        <v>311.28899999999999</v>
      </c>
    </row>
    <row r="145" spans="1:12" x14ac:dyDescent="0.2">
      <c r="A145" s="106">
        <v>200</v>
      </c>
      <c r="B145" s="107" t="s">
        <v>517</v>
      </c>
      <c r="C145" s="106">
        <v>6171</v>
      </c>
      <c r="D145" s="106">
        <v>5162</v>
      </c>
      <c r="E145" s="108">
        <v>6171000000001</v>
      </c>
      <c r="F145" s="109" t="s">
        <v>83</v>
      </c>
      <c r="G145" s="96">
        <v>180</v>
      </c>
      <c r="I145" s="96">
        <v>110</v>
      </c>
      <c r="J145" s="96">
        <v>87.137</v>
      </c>
      <c r="K145" s="96">
        <v>129.24600000000001</v>
      </c>
      <c r="L145" s="96">
        <v>126.167</v>
      </c>
    </row>
    <row r="146" spans="1:12" x14ac:dyDescent="0.2">
      <c r="A146" s="106">
        <v>200</v>
      </c>
      <c r="B146" s="107" t="s">
        <v>517</v>
      </c>
      <c r="C146" s="106">
        <v>6171</v>
      </c>
      <c r="D146" s="106">
        <v>5162</v>
      </c>
      <c r="E146" s="108">
        <v>6171000000001</v>
      </c>
      <c r="F146" s="109" t="s">
        <v>84</v>
      </c>
      <c r="G146" s="96">
        <v>30</v>
      </c>
      <c r="I146" s="96">
        <v>20</v>
      </c>
      <c r="J146" s="96">
        <v>20.414999999999999</v>
      </c>
      <c r="K146" s="96">
        <v>23.57</v>
      </c>
      <c r="L146" s="96">
        <v>18.899000000000001</v>
      </c>
    </row>
    <row r="147" spans="1:12" x14ac:dyDescent="0.2">
      <c r="A147" s="106">
        <v>200</v>
      </c>
      <c r="B147" s="107" t="s">
        <v>517</v>
      </c>
      <c r="C147" s="106">
        <v>6171</v>
      </c>
      <c r="D147" s="106">
        <v>5162</v>
      </c>
      <c r="E147" s="108">
        <v>6171000000001</v>
      </c>
      <c r="F147" s="109" t="s">
        <v>85</v>
      </c>
      <c r="G147" s="96">
        <v>130</v>
      </c>
      <c r="I147" s="96">
        <v>110</v>
      </c>
      <c r="J147" s="96">
        <v>96.108000000000004</v>
      </c>
      <c r="K147" s="96">
        <v>136.40799999999999</v>
      </c>
      <c r="L147" s="96">
        <v>113.9</v>
      </c>
    </row>
    <row r="148" spans="1:12" x14ac:dyDescent="0.2">
      <c r="A148" s="106">
        <v>200</v>
      </c>
      <c r="B148" s="107" t="s">
        <v>517</v>
      </c>
      <c r="C148" s="106">
        <v>6171</v>
      </c>
      <c r="D148" s="106">
        <v>5164</v>
      </c>
      <c r="E148" s="108">
        <v>6171000000001</v>
      </c>
      <c r="F148" s="109" t="s">
        <v>86</v>
      </c>
      <c r="G148" s="96">
        <v>0</v>
      </c>
      <c r="I148" s="96"/>
      <c r="J148" s="96">
        <v>0</v>
      </c>
      <c r="K148" s="96">
        <v>12.9</v>
      </c>
      <c r="L148" s="96">
        <v>548.16399999999999</v>
      </c>
    </row>
    <row r="149" spans="1:12" x14ac:dyDescent="0.2">
      <c r="A149" s="106">
        <v>200</v>
      </c>
      <c r="B149" s="107" t="s">
        <v>517</v>
      </c>
      <c r="C149" s="106">
        <v>6171</v>
      </c>
      <c r="D149" s="106">
        <v>5169</v>
      </c>
      <c r="E149" s="108">
        <v>6171000000001</v>
      </c>
      <c r="F149" s="109" t="s">
        <v>89</v>
      </c>
      <c r="G149" s="96">
        <v>700</v>
      </c>
      <c r="I149" s="96">
        <v>700</v>
      </c>
      <c r="J149" s="96">
        <f>1253.836-SUM(J150:J151)</f>
        <v>489.18299999999999</v>
      </c>
      <c r="K149" s="96">
        <f>1841.997-K150-K151</f>
        <v>679.65200000000004</v>
      </c>
      <c r="L149" s="96">
        <f>1522.932-SUM(L150:L151)</f>
        <v>763.96400000000006</v>
      </c>
    </row>
    <row r="150" spans="1:12" x14ac:dyDescent="0.2">
      <c r="A150" s="106">
        <v>200</v>
      </c>
      <c r="B150" s="107" t="s">
        <v>517</v>
      </c>
      <c r="C150" s="106">
        <v>6171</v>
      </c>
      <c r="D150" s="106">
        <v>5169</v>
      </c>
      <c r="E150" s="108">
        <v>6171000000001</v>
      </c>
      <c r="F150" s="109" t="s">
        <v>90</v>
      </c>
      <c r="G150" s="96">
        <v>300</v>
      </c>
      <c r="I150" s="96">
        <v>300</v>
      </c>
      <c r="J150" s="96">
        <v>184.72300000000001</v>
      </c>
      <c r="K150" s="96">
        <v>336.32600000000002</v>
      </c>
      <c r="L150" s="96">
        <v>70.072000000000003</v>
      </c>
    </row>
    <row r="151" spans="1:12" x14ac:dyDescent="0.2">
      <c r="A151" s="106">
        <v>200</v>
      </c>
      <c r="B151" s="107" t="s">
        <v>517</v>
      </c>
      <c r="C151" s="106">
        <v>6171</v>
      </c>
      <c r="D151" s="106">
        <v>5169</v>
      </c>
      <c r="E151" s="108">
        <v>6171000000001</v>
      </c>
      <c r="F151" s="109" t="s">
        <v>91</v>
      </c>
      <c r="G151" s="96">
        <v>1000</v>
      </c>
      <c r="I151" s="96">
        <v>1000</v>
      </c>
      <c r="J151" s="96">
        <v>579.92999999999995</v>
      </c>
      <c r="K151" s="96">
        <v>826.01900000000001</v>
      </c>
      <c r="L151" s="96">
        <v>688.89599999999996</v>
      </c>
    </row>
    <row r="152" spans="1:12" x14ac:dyDescent="0.2">
      <c r="A152" s="106">
        <v>200</v>
      </c>
      <c r="B152" s="107" t="s">
        <v>517</v>
      </c>
      <c r="C152" s="106">
        <v>6171</v>
      </c>
      <c r="D152" s="106">
        <v>5171</v>
      </c>
      <c r="E152" s="108">
        <v>6171000000001</v>
      </c>
      <c r="F152" s="109" t="s">
        <v>92</v>
      </c>
      <c r="G152" s="96">
        <v>280</v>
      </c>
      <c r="I152" s="96">
        <v>280</v>
      </c>
      <c r="J152" s="96">
        <f>165.055-SUM(J153:J154)</f>
        <v>104.24000000000001</v>
      </c>
      <c r="K152" s="96">
        <f>408.575-K153-K154</f>
        <v>304.42699999999996</v>
      </c>
      <c r="L152" s="96">
        <f>192.721-SUM(L153:L154)</f>
        <v>128.161</v>
      </c>
    </row>
    <row r="153" spans="1:12" x14ac:dyDescent="0.2">
      <c r="A153" s="106">
        <v>200</v>
      </c>
      <c r="B153" s="107" t="s">
        <v>517</v>
      </c>
      <c r="C153" s="106">
        <v>6171</v>
      </c>
      <c r="D153" s="106">
        <v>5171</v>
      </c>
      <c r="E153" s="108">
        <v>6171000000001</v>
      </c>
      <c r="F153" s="109" t="s">
        <v>93</v>
      </c>
      <c r="G153" s="96">
        <v>40</v>
      </c>
      <c r="I153" s="96">
        <v>40</v>
      </c>
      <c r="J153" s="96">
        <v>20.613</v>
      </c>
      <c r="K153" s="96">
        <v>25.129000000000001</v>
      </c>
      <c r="L153" s="96">
        <v>20.834</v>
      </c>
    </row>
    <row r="154" spans="1:12" x14ac:dyDescent="0.2">
      <c r="A154" s="106">
        <v>200</v>
      </c>
      <c r="B154" s="107" t="s">
        <v>517</v>
      </c>
      <c r="C154" s="106">
        <v>6171</v>
      </c>
      <c r="D154" s="106">
        <v>5171</v>
      </c>
      <c r="E154" s="108">
        <v>6171000000001</v>
      </c>
      <c r="F154" s="109" t="s">
        <v>94</v>
      </c>
      <c r="G154" s="96">
        <v>80</v>
      </c>
      <c r="I154" s="96">
        <v>80</v>
      </c>
      <c r="J154" s="96">
        <v>40.201999999999998</v>
      </c>
      <c r="K154" s="96">
        <v>79.019000000000005</v>
      </c>
      <c r="L154" s="96">
        <v>43.725999999999999</v>
      </c>
    </row>
    <row r="155" spans="1:12" x14ac:dyDescent="0.2">
      <c r="A155" s="106">
        <v>200</v>
      </c>
      <c r="B155" s="107" t="s">
        <v>517</v>
      </c>
      <c r="C155" s="106">
        <v>6171</v>
      </c>
      <c r="D155" s="106">
        <v>5362</v>
      </c>
      <c r="E155" s="108">
        <v>6171000000001</v>
      </c>
      <c r="F155" s="109" t="s">
        <v>95</v>
      </c>
      <c r="G155" s="96">
        <v>20</v>
      </c>
      <c r="I155" s="96">
        <v>20</v>
      </c>
      <c r="J155" s="96">
        <v>19.5</v>
      </c>
      <c r="K155" s="96">
        <v>16.5</v>
      </c>
      <c r="L155" s="96">
        <v>16.5</v>
      </c>
    </row>
    <row r="156" spans="1:12" ht="13.5" thickBot="1" x14ac:dyDescent="0.25">
      <c r="A156" s="106"/>
      <c r="B156" s="107"/>
      <c r="C156" s="106"/>
      <c r="D156" s="106"/>
      <c r="E156" s="108"/>
      <c r="F156" s="109" t="s">
        <v>503</v>
      </c>
      <c r="G156" s="96"/>
      <c r="I156" s="96"/>
      <c r="J156" s="96"/>
      <c r="K156" s="96"/>
      <c r="L156" s="96">
        <f>25.374</f>
        <v>25.373999999999999</v>
      </c>
    </row>
    <row r="157" spans="1:12" x14ac:dyDescent="0.2">
      <c r="A157" s="110"/>
      <c r="B157" s="111" t="s">
        <v>17</v>
      </c>
      <c r="C157" s="112">
        <v>6171</v>
      </c>
      <c r="D157" s="113"/>
      <c r="E157" s="114"/>
      <c r="F157" s="115"/>
      <c r="G157" s="116">
        <f>SUM(G118:G156)</f>
        <v>14240</v>
      </c>
      <c r="I157" s="116">
        <f>SUM(I118:I156)</f>
        <v>12826</v>
      </c>
      <c r="J157" s="116">
        <f>SUM(J118:J156)</f>
        <v>6671.7590000000009</v>
      </c>
      <c r="K157" s="116">
        <f>SUM(K118:K156)</f>
        <v>9876.9830000000002</v>
      </c>
      <c r="L157" s="116">
        <f>SUM(L118:L156)</f>
        <v>7206.588999999999</v>
      </c>
    </row>
    <row r="159" spans="1:12" x14ac:dyDescent="0.2">
      <c r="A159" s="124"/>
      <c r="B159" s="125" t="s">
        <v>96</v>
      </c>
      <c r="C159" s="126"/>
      <c r="D159" s="127"/>
      <c r="E159" s="128"/>
      <c r="F159" s="129"/>
      <c r="G159" s="130">
        <f>SUM(G157,G116)</f>
        <v>20327</v>
      </c>
      <c r="I159" s="130">
        <f>SUM(I157,I116)</f>
        <v>18315</v>
      </c>
      <c r="J159" s="130">
        <f>SUM(J157,J116)</f>
        <v>10681.596000000001</v>
      </c>
      <c r="K159" s="130">
        <f>SUM(K157,K116)</f>
        <v>14587.856</v>
      </c>
      <c r="L159" s="130">
        <f>SUM(L157,L116)</f>
        <v>12003.220999999998</v>
      </c>
    </row>
    <row r="162" spans="1:12" x14ac:dyDescent="0.2">
      <c r="A162" s="106">
        <v>300</v>
      </c>
      <c r="B162" s="107" t="s">
        <v>434</v>
      </c>
      <c r="C162" s="106">
        <v>4359</v>
      </c>
      <c r="D162" s="106">
        <v>5137</v>
      </c>
      <c r="E162" s="108">
        <v>4359000000001</v>
      </c>
      <c r="F162" s="109" t="s">
        <v>435</v>
      </c>
      <c r="G162" s="96">
        <v>20</v>
      </c>
      <c r="I162" s="96">
        <v>20</v>
      </c>
      <c r="J162" s="96">
        <v>0</v>
      </c>
      <c r="K162" s="96">
        <v>0</v>
      </c>
      <c r="L162" s="96"/>
    </row>
    <row r="163" spans="1:12" x14ac:dyDescent="0.2">
      <c r="A163" s="106">
        <v>300</v>
      </c>
      <c r="B163" s="107" t="s">
        <v>434</v>
      </c>
      <c r="C163" s="106">
        <v>4359</v>
      </c>
      <c r="D163" s="106">
        <v>5169</v>
      </c>
      <c r="E163" s="108">
        <v>4359000000001</v>
      </c>
      <c r="F163" s="109" t="s">
        <v>436</v>
      </c>
      <c r="G163" s="96">
        <v>20</v>
      </c>
      <c r="I163" s="96">
        <v>20</v>
      </c>
      <c r="J163" s="96">
        <v>0</v>
      </c>
      <c r="K163" s="96">
        <v>4.1399999999999997</v>
      </c>
      <c r="L163" s="96"/>
    </row>
    <row r="164" spans="1:12" ht="13.5" thickBot="1" x14ac:dyDescent="0.25">
      <c r="A164" s="106"/>
      <c r="B164" s="107"/>
      <c r="C164" s="106"/>
      <c r="D164" s="106"/>
      <c r="E164" s="108"/>
      <c r="F164" s="109" t="s">
        <v>503</v>
      </c>
      <c r="G164" s="96"/>
      <c r="I164" s="96"/>
      <c r="J164" s="96"/>
      <c r="K164" s="96"/>
      <c r="L164" s="96"/>
    </row>
    <row r="165" spans="1:12" x14ac:dyDescent="0.2">
      <c r="A165" s="110"/>
      <c r="B165" s="111" t="s">
        <v>17</v>
      </c>
      <c r="C165" s="112">
        <v>4359</v>
      </c>
      <c r="D165" s="113"/>
      <c r="E165" s="114"/>
      <c r="F165" s="115"/>
      <c r="G165" s="116">
        <f>SUM(G162:G164)</f>
        <v>40</v>
      </c>
      <c r="I165" s="116">
        <f>SUM(I162:I164)</f>
        <v>40</v>
      </c>
      <c r="J165" s="116">
        <f>SUM(J162:J164)</f>
        <v>0</v>
      </c>
      <c r="K165" s="116">
        <f>SUM(K162:K164)</f>
        <v>4.1399999999999997</v>
      </c>
      <c r="L165" s="116">
        <f>SUM(L162:L164)</f>
        <v>0</v>
      </c>
    </row>
    <row r="167" spans="1:12" x14ac:dyDescent="0.2">
      <c r="A167" s="106">
        <v>300</v>
      </c>
      <c r="B167" s="107" t="s">
        <v>97</v>
      </c>
      <c r="C167" s="106">
        <v>6171</v>
      </c>
      <c r="D167" s="106">
        <v>5011</v>
      </c>
      <c r="E167" s="108">
        <v>6171030000001</v>
      </c>
      <c r="F167" s="109" t="s">
        <v>51</v>
      </c>
      <c r="G167" s="96">
        <v>3159</v>
      </c>
      <c r="I167" s="96">
        <v>3106</v>
      </c>
      <c r="J167" s="96">
        <f>650.15+693.208</f>
        <v>1343.3579999999999</v>
      </c>
      <c r="K167" s="96">
        <f>1354.42+1487.213</f>
        <v>2841.6329999999998</v>
      </c>
      <c r="L167" s="96">
        <f>1122.897+1415.088</f>
        <v>2537.9849999999997</v>
      </c>
    </row>
    <row r="168" spans="1:12" x14ac:dyDescent="0.2">
      <c r="A168" s="106">
        <v>300</v>
      </c>
      <c r="B168" s="107" t="s">
        <v>97</v>
      </c>
      <c r="C168" s="106">
        <v>6171</v>
      </c>
      <c r="D168" s="106">
        <v>5021</v>
      </c>
      <c r="E168" s="108">
        <v>6171030000001</v>
      </c>
      <c r="F168" s="109" t="s">
        <v>98</v>
      </c>
      <c r="G168" s="96">
        <v>0</v>
      </c>
      <c r="I168" s="96">
        <v>0</v>
      </c>
      <c r="J168" s="96">
        <v>0</v>
      </c>
      <c r="K168" s="96">
        <v>0</v>
      </c>
      <c r="L168" s="96">
        <f>10.979</f>
        <v>10.978999999999999</v>
      </c>
    </row>
    <row r="169" spans="1:12" x14ac:dyDescent="0.2">
      <c r="A169" s="106">
        <v>300</v>
      </c>
      <c r="B169" s="107" t="s">
        <v>97</v>
      </c>
      <c r="C169" s="106">
        <v>6171</v>
      </c>
      <c r="D169" s="106">
        <v>5031</v>
      </c>
      <c r="E169" s="108">
        <v>6171030000001</v>
      </c>
      <c r="F169" s="109" t="s">
        <v>99</v>
      </c>
      <c r="G169" s="96">
        <v>784</v>
      </c>
      <c r="I169" s="96">
        <v>770</v>
      </c>
      <c r="J169" s="96">
        <f>143.563+170.346</f>
        <v>313.90899999999999</v>
      </c>
      <c r="K169" s="96">
        <f>323.704+375.543</f>
        <v>699.24700000000007</v>
      </c>
      <c r="L169" s="96">
        <f>294.915+336.515</f>
        <v>631.43000000000006</v>
      </c>
    </row>
    <row r="170" spans="1:12" x14ac:dyDescent="0.2">
      <c r="A170" s="106">
        <v>300</v>
      </c>
      <c r="B170" s="107" t="s">
        <v>97</v>
      </c>
      <c r="C170" s="106">
        <v>6171</v>
      </c>
      <c r="D170" s="106">
        <v>5032</v>
      </c>
      <c r="E170" s="108">
        <v>6171030000001</v>
      </c>
      <c r="F170" s="109" t="s">
        <v>69</v>
      </c>
      <c r="G170" s="96">
        <v>285</v>
      </c>
      <c r="I170" s="96">
        <v>280</v>
      </c>
      <c r="J170" s="96">
        <f>52.099+61.819</f>
        <v>113.91800000000001</v>
      </c>
      <c r="K170" s="96">
        <f>116.45+136.287</f>
        <v>252.73700000000002</v>
      </c>
      <c r="L170" s="96">
        <f>87.115+142.587</f>
        <v>229.702</v>
      </c>
    </row>
    <row r="171" spans="1:12" x14ac:dyDescent="0.2">
      <c r="A171" s="106">
        <v>300</v>
      </c>
      <c r="B171" s="107" t="s">
        <v>97</v>
      </c>
      <c r="C171" s="106">
        <v>6171</v>
      </c>
      <c r="D171" s="106">
        <v>5132</v>
      </c>
      <c r="E171" s="108">
        <v>6171030000001</v>
      </c>
      <c r="F171" s="109" t="s">
        <v>33</v>
      </c>
      <c r="G171" s="96">
        <v>4</v>
      </c>
      <c r="I171" s="96">
        <v>4</v>
      </c>
      <c r="J171" s="96">
        <v>0</v>
      </c>
      <c r="K171" s="96">
        <f>1.528</f>
        <v>1.528</v>
      </c>
      <c r="L171" s="96">
        <f>0.827+1.132</f>
        <v>1.9589999999999999</v>
      </c>
    </row>
    <row r="172" spans="1:12" x14ac:dyDescent="0.2">
      <c r="A172" s="106">
        <v>300</v>
      </c>
      <c r="B172" s="107" t="s">
        <v>97</v>
      </c>
      <c r="C172" s="106">
        <v>6171</v>
      </c>
      <c r="D172" s="106">
        <v>5136</v>
      </c>
      <c r="E172" s="108">
        <v>6171030000001</v>
      </c>
      <c r="F172" s="109" t="s">
        <v>55</v>
      </c>
      <c r="G172" s="96">
        <v>6</v>
      </c>
      <c r="I172" s="96">
        <v>6</v>
      </c>
      <c r="J172" s="96">
        <v>0</v>
      </c>
      <c r="K172" s="96">
        <v>1.258</v>
      </c>
      <c r="L172" s="96">
        <f>2.326</f>
        <v>2.3260000000000001</v>
      </c>
    </row>
    <row r="173" spans="1:12" x14ac:dyDescent="0.2">
      <c r="A173" s="106">
        <v>300</v>
      </c>
      <c r="B173" s="107" t="s">
        <v>97</v>
      </c>
      <c r="C173" s="106">
        <v>6171</v>
      </c>
      <c r="D173" s="106">
        <v>5139</v>
      </c>
      <c r="E173" s="108">
        <v>6171030000001</v>
      </c>
      <c r="F173" s="109" t="s">
        <v>437</v>
      </c>
      <c r="G173" s="96">
        <v>6</v>
      </c>
      <c r="I173" s="96">
        <v>5</v>
      </c>
      <c r="J173" s="96">
        <f>2.947</f>
        <v>2.9470000000000001</v>
      </c>
      <c r="K173" s="96">
        <v>2.0049999999999999</v>
      </c>
      <c r="L173" s="96">
        <f>3.9</f>
        <v>3.9</v>
      </c>
    </row>
    <row r="174" spans="1:12" x14ac:dyDescent="0.2">
      <c r="A174" s="106">
        <v>300</v>
      </c>
      <c r="B174" s="107" t="s">
        <v>97</v>
      </c>
      <c r="C174" s="106">
        <v>6171</v>
      </c>
      <c r="D174" s="106">
        <v>5167</v>
      </c>
      <c r="E174" s="108">
        <v>6171030000001</v>
      </c>
      <c r="F174" s="109" t="s">
        <v>87</v>
      </c>
      <c r="G174" s="96">
        <v>82</v>
      </c>
      <c r="I174" s="96">
        <v>40</v>
      </c>
      <c r="J174" s="96">
        <f>25.87</f>
        <v>25.87</v>
      </c>
      <c r="K174" s="96">
        <f>2.15+25.19</f>
        <v>27.34</v>
      </c>
      <c r="L174" s="96">
        <f>3.38+19.09</f>
        <v>22.47</v>
      </c>
    </row>
    <row r="175" spans="1:12" x14ac:dyDescent="0.2">
      <c r="A175" s="106">
        <v>300</v>
      </c>
      <c r="B175" s="107" t="s">
        <v>97</v>
      </c>
      <c r="C175" s="106">
        <v>6171</v>
      </c>
      <c r="D175" s="106">
        <v>5169</v>
      </c>
      <c r="E175" s="108">
        <v>6171030000001</v>
      </c>
      <c r="F175" s="109" t="s">
        <v>20</v>
      </c>
      <c r="G175" s="96">
        <v>27</v>
      </c>
      <c r="I175" s="96">
        <v>5</v>
      </c>
      <c r="J175" s="96">
        <v>0</v>
      </c>
      <c r="K175" s="96">
        <v>0</v>
      </c>
      <c r="L175" s="96">
        <f>0.3+8.8</f>
        <v>9.1000000000000014</v>
      </c>
    </row>
    <row r="176" spans="1:12" x14ac:dyDescent="0.2">
      <c r="A176" s="106">
        <v>300</v>
      </c>
      <c r="B176" s="107" t="s">
        <v>97</v>
      </c>
      <c r="C176" s="106">
        <v>6171</v>
      </c>
      <c r="D176" s="106">
        <v>5173</v>
      </c>
      <c r="E176" s="108">
        <v>6171030000001</v>
      </c>
      <c r="F176" s="109" t="s">
        <v>60</v>
      </c>
      <c r="G176" s="96">
        <v>21</v>
      </c>
      <c r="I176" s="96">
        <v>20</v>
      </c>
      <c r="J176" s="96">
        <f>6.448</f>
        <v>6.4480000000000004</v>
      </c>
      <c r="K176" s="96">
        <f>10.734+11.135</f>
        <v>21.869</v>
      </c>
      <c r="L176" s="96">
        <f>9.16+18.115</f>
        <v>27.274999999999999</v>
      </c>
    </row>
    <row r="177" spans="1:12" x14ac:dyDescent="0.2">
      <c r="A177" s="106">
        <v>300</v>
      </c>
      <c r="B177" s="107" t="s">
        <v>97</v>
      </c>
      <c r="C177" s="106">
        <v>6171</v>
      </c>
      <c r="D177" s="106">
        <v>5175</v>
      </c>
      <c r="E177" s="108">
        <v>6171030000001</v>
      </c>
      <c r="F177" s="109" t="s">
        <v>28</v>
      </c>
      <c r="G177" s="96">
        <v>9</v>
      </c>
      <c r="I177" s="96">
        <v>7</v>
      </c>
      <c r="J177" s="96">
        <f>1.62</f>
        <v>1.62</v>
      </c>
      <c r="K177" s="96">
        <v>1.05</v>
      </c>
      <c r="L177" s="96">
        <f>5.438</f>
        <v>5.4379999999999997</v>
      </c>
    </row>
    <row r="178" spans="1:12" ht="13.5" thickBot="1" x14ac:dyDescent="0.25">
      <c r="A178" s="106"/>
      <c r="B178" s="107"/>
      <c r="C178" s="106"/>
      <c r="D178" s="106"/>
      <c r="E178" s="108"/>
      <c r="F178" s="109" t="s">
        <v>503</v>
      </c>
      <c r="G178" s="96"/>
      <c r="I178" s="96"/>
      <c r="J178" s="96"/>
      <c r="K178" s="96">
        <f>7.99+10.15</f>
        <v>18.14</v>
      </c>
      <c r="L178" s="96">
        <f>3.638</f>
        <v>3.6379999999999999</v>
      </c>
    </row>
    <row r="179" spans="1:12" x14ac:dyDescent="0.2">
      <c r="A179" s="110"/>
      <c r="B179" s="111" t="s">
        <v>17</v>
      </c>
      <c r="C179" s="112">
        <v>6171</v>
      </c>
      <c r="D179" s="113"/>
      <c r="E179" s="114"/>
      <c r="F179" s="115"/>
      <c r="G179" s="116">
        <f>SUM(G167:G178)</f>
        <v>4383</v>
      </c>
      <c r="I179" s="116">
        <f>SUM(I167:I178)</f>
        <v>4243</v>
      </c>
      <c r="J179" s="116">
        <f>SUM(J167:J178)</f>
        <v>1808.0699999999997</v>
      </c>
      <c r="K179" s="116">
        <f>SUM(K167:K178)</f>
        <v>3866.8070000000002</v>
      </c>
      <c r="L179" s="116">
        <f>SUM(L167:L178)</f>
        <v>3486.2019999999993</v>
      </c>
    </row>
    <row r="181" spans="1:12" x14ac:dyDescent="0.2">
      <c r="A181" s="124"/>
      <c r="B181" s="125" t="s">
        <v>100</v>
      </c>
      <c r="C181" s="126"/>
      <c r="D181" s="127"/>
      <c r="E181" s="128"/>
      <c r="F181" s="129"/>
      <c r="G181" s="130">
        <f>SUM(G179,G165)</f>
        <v>4423</v>
      </c>
      <c r="I181" s="130">
        <f>SUM(I179,I165)</f>
        <v>4283</v>
      </c>
      <c r="J181" s="130">
        <f>SUM(J179,J165)</f>
        <v>1808.0699999999997</v>
      </c>
      <c r="K181" s="130">
        <f>SUM(K179,K165)</f>
        <v>3870.9470000000001</v>
      </c>
      <c r="L181" s="130">
        <f>SUM(L179,L165)</f>
        <v>3486.2019999999993</v>
      </c>
    </row>
    <row r="184" spans="1:12" x14ac:dyDescent="0.2">
      <c r="A184" s="106">
        <v>320</v>
      </c>
      <c r="B184" s="107" t="s">
        <v>101</v>
      </c>
      <c r="C184" s="106">
        <v>4339</v>
      </c>
      <c r="D184" s="106">
        <v>5011</v>
      </c>
      <c r="E184" s="108">
        <v>4339000000001</v>
      </c>
      <c r="F184" s="109" t="s">
        <v>51</v>
      </c>
      <c r="G184" s="96">
        <v>843.76</v>
      </c>
      <c r="I184" s="96">
        <v>740.745</v>
      </c>
      <c r="J184" s="96">
        <v>544.83900000000006</v>
      </c>
      <c r="K184" s="96">
        <v>819.63499999999999</v>
      </c>
      <c r="L184" s="96">
        <v>1512.134</v>
      </c>
    </row>
    <row r="185" spans="1:12" x14ac:dyDescent="0.2">
      <c r="A185" s="106">
        <v>320</v>
      </c>
      <c r="B185" s="107" t="s">
        <v>101</v>
      </c>
      <c r="C185" s="106">
        <v>4339</v>
      </c>
      <c r="D185" s="106">
        <v>5021</v>
      </c>
      <c r="E185" s="108">
        <v>4339000000001</v>
      </c>
      <c r="F185" s="109" t="s">
        <v>52</v>
      </c>
      <c r="G185" s="96">
        <v>40</v>
      </c>
      <c r="I185" s="96">
        <v>25</v>
      </c>
      <c r="J185" s="96">
        <v>25</v>
      </c>
      <c r="K185" s="96">
        <v>19</v>
      </c>
      <c r="L185" s="96">
        <v>39.5</v>
      </c>
    </row>
    <row r="186" spans="1:12" x14ac:dyDescent="0.2">
      <c r="A186" s="106">
        <v>320</v>
      </c>
      <c r="B186" s="107" t="s">
        <v>101</v>
      </c>
      <c r="C186" s="106">
        <v>4339</v>
      </c>
      <c r="D186" s="106">
        <v>5031</v>
      </c>
      <c r="E186" s="108">
        <v>4339000000001</v>
      </c>
      <c r="F186" s="109" t="s">
        <v>99</v>
      </c>
      <c r="G186" s="96">
        <v>209.18</v>
      </c>
      <c r="I186" s="96">
        <v>183.70500000000001</v>
      </c>
      <c r="J186" s="96">
        <v>135.12</v>
      </c>
      <c r="K186" s="96">
        <v>203.26900000000001</v>
      </c>
      <c r="L186" s="96">
        <v>380.82100000000003</v>
      </c>
    </row>
    <row r="187" spans="1:12" x14ac:dyDescent="0.2">
      <c r="A187" s="106">
        <v>320</v>
      </c>
      <c r="B187" s="107" t="s">
        <v>101</v>
      </c>
      <c r="C187" s="106">
        <v>4339</v>
      </c>
      <c r="D187" s="106">
        <v>5032</v>
      </c>
      <c r="E187" s="108">
        <v>4339000000001</v>
      </c>
      <c r="F187" s="109" t="s">
        <v>54</v>
      </c>
      <c r="G187" s="96">
        <v>75.91</v>
      </c>
      <c r="I187" s="96">
        <v>66.667000000000002</v>
      </c>
      <c r="J187" s="96">
        <v>49.034999999999997</v>
      </c>
      <c r="K187" s="96">
        <v>73.766999999999996</v>
      </c>
      <c r="L187" s="96">
        <v>137.352</v>
      </c>
    </row>
    <row r="188" spans="1:12" x14ac:dyDescent="0.2">
      <c r="A188" s="106">
        <v>320</v>
      </c>
      <c r="B188" s="107" t="s">
        <v>101</v>
      </c>
      <c r="C188" s="106">
        <v>4339</v>
      </c>
      <c r="D188" s="106">
        <v>5132</v>
      </c>
      <c r="E188" s="108">
        <v>4339000000001</v>
      </c>
      <c r="F188" s="109" t="s">
        <v>33</v>
      </c>
      <c r="G188" s="96">
        <v>2</v>
      </c>
      <c r="I188" s="96">
        <v>2</v>
      </c>
      <c r="J188" s="96">
        <v>0</v>
      </c>
      <c r="K188" s="96">
        <v>1.2569999999999999</v>
      </c>
      <c r="L188" s="96">
        <v>1.8959999999999999</v>
      </c>
    </row>
    <row r="189" spans="1:12" x14ac:dyDescent="0.2">
      <c r="A189" s="106">
        <v>320</v>
      </c>
      <c r="B189" s="107" t="s">
        <v>101</v>
      </c>
      <c r="C189" s="106">
        <v>4339</v>
      </c>
      <c r="D189" s="106">
        <v>5136</v>
      </c>
      <c r="E189" s="108">
        <v>4339000000001</v>
      </c>
      <c r="F189" s="109" t="s">
        <v>55</v>
      </c>
      <c r="G189" s="96">
        <v>3</v>
      </c>
      <c r="I189" s="96">
        <v>3</v>
      </c>
      <c r="J189" s="96">
        <v>0</v>
      </c>
      <c r="K189" s="96">
        <v>5.4560000000000004</v>
      </c>
      <c r="L189" s="96">
        <v>0</v>
      </c>
    </row>
    <row r="190" spans="1:12" x14ac:dyDescent="0.2">
      <c r="A190" s="106">
        <v>320</v>
      </c>
      <c r="B190" s="107" t="s">
        <v>101</v>
      </c>
      <c r="C190" s="106">
        <v>4339</v>
      </c>
      <c r="D190" s="106">
        <v>5139</v>
      </c>
      <c r="E190" s="108">
        <v>4339000000001</v>
      </c>
      <c r="F190" s="109" t="s">
        <v>56</v>
      </c>
      <c r="G190" s="96">
        <v>15</v>
      </c>
      <c r="I190" s="96">
        <v>15</v>
      </c>
      <c r="J190" s="96">
        <v>1.454</v>
      </c>
      <c r="K190" s="96">
        <v>4.54</v>
      </c>
      <c r="L190" s="96">
        <v>7.31</v>
      </c>
    </row>
    <row r="191" spans="1:12" x14ac:dyDescent="0.2">
      <c r="A191" s="106">
        <v>320</v>
      </c>
      <c r="B191" s="107" t="s">
        <v>101</v>
      </c>
      <c r="C191" s="106">
        <v>4339</v>
      </c>
      <c r="D191" s="106">
        <v>5151</v>
      </c>
      <c r="E191" s="108">
        <v>4339000000001</v>
      </c>
      <c r="F191" s="109" t="s">
        <v>102</v>
      </c>
      <c r="G191" s="96">
        <v>6.1</v>
      </c>
      <c r="I191" s="96">
        <v>5.0579999999999998</v>
      </c>
      <c r="J191" s="96">
        <v>3.9089999999999998</v>
      </c>
      <c r="K191" s="96">
        <v>7.7380000000000004</v>
      </c>
      <c r="L191" s="96">
        <v>12.243</v>
      </c>
    </row>
    <row r="192" spans="1:12" x14ac:dyDescent="0.2">
      <c r="A192" s="106">
        <v>320</v>
      </c>
      <c r="B192" s="107" t="s">
        <v>101</v>
      </c>
      <c r="C192" s="106">
        <v>4339</v>
      </c>
      <c r="D192" s="106">
        <v>5152</v>
      </c>
      <c r="E192" s="108">
        <v>4339000000001</v>
      </c>
      <c r="F192" s="109" t="s">
        <v>103</v>
      </c>
      <c r="G192" s="96">
        <v>33.299999999999997</v>
      </c>
      <c r="I192" s="96">
        <v>27.259</v>
      </c>
      <c r="J192" s="96">
        <v>20.084</v>
      </c>
      <c r="K192" s="96">
        <v>40.231999999999999</v>
      </c>
      <c r="L192" s="96">
        <v>63.104999999999997</v>
      </c>
    </row>
    <row r="193" spans="1:12" x14ac:dyDescent="0.2">
      <c r="A193" s="106">
        <v>320</v>
      </c>
      <c r="B193" s="107" t="s">
        <v>101</v>
      </c>
      <c r="C193" s="106">
        <v>4339</v>
      </c>
      <c r="D193" s="106">
        <v>5154</v>
      </c>
      <c r="E193" s="108">
        <v>4339000000001</v>
      </c>
      <c r="F193" s="109" t="s">
        <v>104</v>
      </c>
      <c r="G193" s="96">
        <f>8.5</f>
        <v>8.5</v>
      </c>
      <c r="I193" s="96">
        <v>6.6870000000000003</v>
      </c>
      <c r="J193" s="96">
        <v>5.0140000000000002</v>
      </c>
      <c r="K193" s="96">
        <v>9.8870000000000005</v>
      </c>
      <c r="L193" s="96">
        <v>15.474</v>
      </c>
    </row>
    <row r="194" spans="1:12" x14ac:dyDescent="0.2">
      <c r="A194" s="106">
        <v>320</v>
      </c>
      <c r="B194" s="107" t="s">
        <v>101</v>
      </c>
      <c r="C194" s="106">
        <v>4339</v>
      </c>
      <c r="D194" s="106">
        <v>5156</v>
      </c>
      <c r="E194" s="108">
        <v>4339000000001</v>
      </c>
      <c r="F194" s="109" t="s">
        <v>105</v>
      </c>
      <c r="G194" s="96">
        <v>9</v>
      </c>
      <c r="I194" s="96">
        <v>7</v>
      </c>
      <c r="J194" s="96">
        <v>2.1579999999999999</v>
      </c>
      <c r="K194" s="96">
        <v>3.258</v>
      </c>
      <c r="L194" s="96">
        <v>7.9409999999999998</v>
      </c>
    </row>
    <row r="195" spans="1:12" x14ac:dyDescent="0.2">
      <c r="A195" s="106">
        <v>320</v>
      </c>
      <c r="B195" s="107" t="s">
        <v>101</v>
      </c>
      <c r="C195" s="106">
        <v>4339</v>
      </c>
      <c r="D195" s="106">
        <v>5161</v>
      </c>
      <c r="E195" s="108">
        <v>4339000000001</v>
      </c>
      <c r="F195" s="109" t="s">
        <v>81</v>
      </c>
      <c r="G195" s="96">
        <v>4</v>
      </c>
      <c r="I195" s="96">
        <v>4</v>
      </c>
      <c r="J195" s="96">
        <v>1.3180000000000001</v>
      </c>
      <c r="K195" s="96">
        <v>3.754</v>
      </c>
      <c r="L195" s="96">
        <v>5.8250000000000002</v>
      </c>
    </row>
    <row r="196" spans="1:12" x14ac:dyDescent="0.2">
      <c r="A196" s="106">
        <v>320</v>
      </c>
      <c r="B196" s="107" t="s">
        <v>101</v>
      </c>
      <c r="C196" s="106">
        <v>4339</v>
      </c>
      <c r="D196" s="106">
        <v>5162</v>
      </c>
      <c r="E196" s="108">
        <v>4339000000001</v>
      </c>
      <c r="F196" s="109" t="s">
        <v>106</v>
      </c>
      <c r="G196" s="96">
        <v>13</v>
      </c>
      <c r="I196" s="96">
        <v>13</v>
      </c>
      <c r="J196" s="96">
        <v>0</v>
      </c>
      <c r="K196" s="96">
        <v>10.896000000000001</v>
      </c>
      <c r="L196" s="96">
        <v>20.981000000000002</v>
      </c>
    </row>
    <row r="197" spans="1:12" x14ac:dyDescent="0.2">
      <c r="A197" s="106">
        <v>320</v>
      </c>
      <c r="B197" s="107" t="s">
        <v>101</v>
      </c>
      <c r="C197" s="106">
        <v>4339</v>
      </c>
      <c r="D197" s="106">
        <v>5164</v>
      </c>
      <c r="E197" s="108">
        <v>4339000000001</v>
      </c>
      <c r="F197" s="109" t="s">
        <v>107</v>
      </c>
      <c r="G197" s="96">
        <v>270</v>
      </c>
      <c r="I197" s="96">
        <v>335.8</v>
      </c>
      <c r="J197" s="96">
        <v>239.042</v>
      </c>
      <c r="K197" s="96">
        <v>402.80799999999999</v>
      </c>
      <c r="L197" s="96">
        <v>603.79200000000003</v>
      </c>
    </row>
    <row r="198" spans="1:12" x14ac:dyDescent="0.2">
      <c r="A198" s="106">
        <v>320</v>
      </c>
      <c r="B198" s="107" t="s">
        <v>101</v>
      </c>
      <c r="C198" s="106">
        <v>4339</v>
      </c>
      <c r="D198" s="106">
        <v>5167</v>
      </c>
      <c r="E198" s="108">
        <v>4339000000001</v>
      </c>
      <c r="F198" s="109" t="s">
        <v>57</v>
      </c>
      <c r="G198" s="96">
        <v>21</v>
      </c>
      <c r="I198" s="96">
        <v>21</v>
      </c>
      <c r="J198" s="96">
        <v>0</v>
      </c>
      <c r="K198" s="96">
        <v>0</v>
      </c>
      <c r="L198" s="96">
        <v>0</v>
      </c>
    </row>
    <row r="199" spans="1:12" x14ac:dyDescent="0.2">
      <c r="A199" s="106">
        <v>320</v>
      </c>
      <c r="B199" s="107" t="s">
        <v>101</v>
      </c>
      <c r="C199" s="106">
        <v>4339</v>
      </c>
      <c r="D199" s="106">
        <v>5169</v>
      </c>
      <c r="E199" s="108">
        <v>4339000000001</v>
      </c>
      <c r="F199" s="109" t="s">
        <v>20</v>
      </c>
      <c r="G199" s="96">
        <v>15</v>
      </c>
      <c r="I199" s="96">
        <v>12</v>
      </c>
      <c r="J199" s="96">
        <v>7.8849999999999998</v>
      </c>
      <c r="K199" s="96">
        <v>14.661</v>
      </c>
      <c r="L199" s="96">
        <v>25.600999999999999</v>
      </c>
    </row>
    <row r="200" spans="1:12" x14ac:dyDescent="0.2">
      <c r="A200" s="106">
        <v>320</v>
      </c>
      <c r="B200" s="107" t="s">
        <v>101</v>
      </c>
      <c r="C200" s="106">
        <v>4339</v>
      </c>
      <c r="D200" s="106">
        <v>5171</v>
      </c>
      <c r="E200" s="108">
        <v>4339000000001</v>
      </c>
      <c r="F200" s="109" t="s">
        <v>108</v>
      </c>
      <c r="G200" s="96">
        <v>4</v>
      </c>
      <c r="I200" s="96">
        <v>4</v>
      </c>
      <c r="J200" s="96">
        <v>0</v>
      </c>
      <c r="K200" s="96">
        <v>0</v>
      </c>
      <c r="L200" s="96">
        <v>0</v>
      </c>
    </row>
    <row r="201" spans="1:12" x14ac:dyDescent="0.2">
      <c r="A201" s="106">
        <v>320</v>
      </c>
      <c r="B201" s="107" t="s">
        <v>101</v>
      </c>
      <c r="C201" s="106">
        <v>4339</v>
      </c>
      <c r="D201" s="106">
        <v>5172</v>
      </c>
      <c r="E201" s="108">
        <v>4339000000001</v>
      </c>
      <c r="F201" s="109" t="s">
        <v>109</v>
      </c>
      <c r="G201" s="96">
        <v>0</v>
      </c>
      <c r="I201" s="96"/>
      <c r="J201" s="96"/>
      <c r="K201" s="96">
        <v>0</v>
      </c>
      <c r="L201" s="96">
        <v>0</v>
      </c>
    </row>
    <row r="202" spans="1:12" x14ac:dyDescent="0.2">
      <c r="A202" s="106">
        <v>320</v>
      </c>
      <c r="B202" s="107" t="s">
        <v>101</v>
      </c>
      <c r="C202" s="106">
        <v>4339</v>
      </c>
      <c r="D202" s="106">
        <v>5173</v>
      </c>
      <c r="E202" s="108">
        <v>4339000000001</v>
      </c>
      <c r="F202" s="109" t="s">
        <v>60</v>
      </c>
      <c r="G202" s="96">
        <v>21</v>
      </c>
      <c r="I202" s="96">
        <v>21</v>
      </c>
      <c r="J202" s="96">
        <v>0</v>
      </c>
      <c r="K202" s="96">
        <v>9.2520000000000007</v>
      </c>
      <c r="L202" s="96">
        <v>1.619</v>
      </c>
    </row>
    <row r="203" spans="1:12" x14ac:dyDescent="0.2">
      <c r="A203" s="106">
        <v>320</v>
      </c>
      <c r="B203" s="107" t="s">
        <v>101</v>
      </c>
      <c r="C203" s="106">
        <v>4339</v>
      </c>
      <c r="D203" s="106">
        <v>5175</v>
      </c>
      <c r="E203" s="108">
        <v>4339000000001</v>
      </c>
      <c r="F203" s="109" t="s">
        <v>28</v>
      </c>
      <c r="G203" s="96">
        <v>5</v>
      </c>
      <c r="I203" s="96">
        <v>5</v>
      </c>
      <c r="J203" s="96">
        <v>0</v>
      </c>
      <c r="K203" s="96">
        <v>4.8259999999999996</v>
      </c>
      <c r="L203" s="96">
        <v>8.7360000000000007</v>
      </c>
    </row>
    <row r="204" spans="1:12" x14ac:dyDescent="0.2">
      <c r="A204" s="106">
        <v>320</v>
      </c>
      <c r="B204" s="107" t="s">
        <v>101</v>
      </c>
      <c r="C204" s="106">
        <v>4339</v>
      </c>
      <c r="D204" s="106">
        <v>5499</v>
      </c>
      <c r="E204" s="108">
        <v>4339000000001</v>
      </c>
      <c r="F204" s="109" t="s">
        <v>110</v>
      </c>
      <c r="G204" s="96">
        <v>521.5</v>
      </c>
      <c r="I204" s="96">
        <v>668.1</v>
      </c>
      <c r="J204" s="96">
        <v>187.64</v>
      </c>
      <c r="K204" s="96">
        <v>217.89500000000001</v>
      </c>
      <c r="L204" s="96">
        <v>475.66399999999999</v>
      </c>
    </row>
    <row r="205" spans="1:12" ht="13.5" thickBot="1" x14ac:dyDescent="0.25">
      <c r="A205" s="106"/>
      <c r="B205" s="107"/>
      <c r="C205" s="106"/>
      <c r="D205" s="106"/>
      <c r="E205" s="108"/>
      <c r="F205" s="109" t="s">
        <v>503</v>
      </c>
      <c r="G205" s="96"/>
      <c r="I205" s="96"/>
      <c r="J205" s="96"/>
      <c r="K205" s="96"/>
      <c r="L205" s="96">
        <v>157.59899999999999</v>
      </c>
    </row>
    <row r="206" spans="1:12" x14ac:dyDescent="0.2">
      <c r="A206" s="110"/>
      <c r="B206" s="111" t="s">
        <v>17</v>
      </c>
      <c r="C206" s="112">
        <v>4339</v>
      </c>
      <c r="D206" s="113"/>
      <c r="E206" s="114"/>
      <c r="F206" s="115"/>
      <c r="G206" s="116">
        <f>SUM(G184:G205)</f>
        <v>2120.25</v>
      </c>
      <c r="I206" s="116">
        <f>SUM(I184:I205)</f>
        <v>2166.0210000000002</v>
      </c>
      <c r="J206" s="116">
        <f>SUM(J184:J205)</f>
        <v>1222.498</v>
      </c>
      <c r="K206" s="116">
        <f>SUM(K184:K205)</f>
        <v>1852.1309999999999</v>
      </c>
      <c r="L206" s="116">
        <f>SUM(L184:L205)</f>
        <v>3477.5929999999998</v>
      </c>
    </row>
    <row r="208" spans="1:12" x14ac:dyDescent="0.2">
      <c r="A208" s="106">
        <v>320</v>
      </c>
      <c r="B208" s="107" t="s">
        <v>111</v>
      </c>
      <c r="C208" s="106">
        <v>6171</v>
      </c>
      <c r="D208" s="106">
        <v>5011</v>
      </c>
      <c r="E208" s="108">
        <v>6171032000001</v>
      </c>
      <c r="F208" s="109" t="s">
        <v>51</v>
      </c>
      <c r="G208" s="96">
        <v>13767.14</v>
      </c>
      <c r="I208" s="96">
        <v>12991.195</v>
      </c>
      <c r="J208" s="96">
        <v>10775.179</v>
      </c>
      <c r="K208" s="96">
        <v>11584.829</v>
      </c>
      <c r="L208" s="96">
        <v>11139.481</v>
      </c>
    </row>
    <row r="209" spans="1:12" x14ac:dyDescent="0.2">
      <c r="A209" s="106">
        <v>320</v>
      </c>
      <c r="B209" s="107" t="s">
        <v>111</v>
      </c>
      <c r="C209" s="106">
        <v>6171</v>
      </c>
      <c r="D209" s="106">
        <v>5021</v>
      </c>
      <c r="E209" s="108">
        <v>6171032000001</v>
      </c>
      <c r="F209" s="109" t="s">
        <v>52</v>
      </c>
      <c r="G209" s="96">
        <v>10</v>
      </c>
      <c r="I209" s="96">
        <v>10</v>
      </c>
      <c r="J209" s="96">
        <v>0</v>
      </c>
      <c r="K209" s="96">
        <v>0</v>
      </c>
      <c r="L209" s="96">
        <v>0</v>
      </c>
    </row>
    <row r="210" spans="1:12" x14ac:dyDescent="0.2">
      <c r="A210" s="106">
        <v>320</v>
      </c>
      <c r="B210" s="107" t="s">
        <v>111</v>
      </c>
      <c r="C210" s="106">
        <v>6171</v>
      </c>
      <c r="D210" s="106">
        <v>5031</v>
      </c>
      <c r="E210" s="108">
        <v>6171032000001</v>
      </c>
      <c r="F210" s="109" t="s">
        <v>112</v>
      </c>
      <c r="G210" s="96">
        <v>3414.25</v>
      </c>
      <c r="I210" s="96">
        <v>3221.8159999999998</v>
      </c>
      <c r="J210" s="96">
        <v>2645.7719999999999</v>
      </c>
      <c r="K210" s="96">
        <v>2851.7330000000002</v>
      </c>
      <c r="L210" s="96">
        <v>2762.6990000000001</v>
      </c>
    </row>
    <row r="211" spans="1:12" x14ac:dyDescent="0.2">
      <c r="A211" s="106">
        <v>320</v>
      </c>
      <c r="B211" s="107" t="s">
        <v>111</v>
      </c>
      <c r="C211" s="106">
        <v>6171</v>
      </c>
      <c r="D211" s="106">
        <v>5032</v>
      </c>
      <c r="E211" s="108">
        <v>6171032000001</v>
      </c>
      <c r="F211" s="109" t="s">
        <v>69</v>
      </c>
      <c r="G211" s="96">
        <v>1239.04</v>
      </c>
      <c r="I211" s="96">
        <v>1169.2080000000001</v>
      </c>
      <c r="J211" s="96">
        <v>965.53700000000003</v>
      </c>
      <c r="K211" s="96">
        <v>1034.213</v>
      </c>
      <c r="L211" s="96">
        <v>998.09699999999998</v>
      </c>
    </row>
    <row r="212" spans="1:12" x14ac:dyDescent="0.2">
      <c r="A212" s="106">
        <v>320</v>
      </c>
      <c r="B212" s="107" t="s">
        <v>111</v>
      </c>
      <c r="C212" s="106">
        <v>6171</v>
      </c>
      <c r="D212" s="106">
        <v>5132</v>
      </c>
      <c r="E212" s="108">
        <v>6171032000001</v>
      </c>
      <c r="F212" s="109" t="s">
        <v>33</v>
      </c>
      <c r="G212" s="96">
        <v>8</v>
      </c>
      <c r="I212" s="96">
        <v>8</v>
      </c>
      <c r="J212" s="96">
        <v>1.472</v>
      </c>
      <c r="K212" s="96">
        <v>7.2409999999999997</v>
      </c>
      <c r="L212" s="96">
        <v>2.1709999999999998</v>
      </c>
    </row>
    <row r="213" spans="1:12" x14ac:dyDescent="0.2">
      <c r="A213" s="106">
        <v>320</v>
      </c>
      <c r="B213" s="107" t="s">
        <v>111</v>
      </c>
      <c r="C213" s="106">
        <v>6171</v>
      </c>
      <c r="D213" s="106">
        <v>5136</v>
      </c>
      <c r="E213" s="108">
        <v>6171032000001</v>
      </c>
      <c r="F213" s="109" t="s">
        <v>55</v>
      </c>
      <c r="G213" s="96">
        <v>25</v>
      </c>
      <c r="I213" s="96">
        <v>25</v>
      </c>
      <c r="J213" s="96">
        <v>3.7669999999999999</v>
      </c>
      <c r="K213" s="96">
        <v>13.132999999999999</v>
      </c>
      <c r="L213" s="96">
        <v>5.2229999999999999</v>
      </c>
    </row>
    <row r="214" spans="1:12" x14ac:dyDescent="0.2">
      <c r="A214" s="106">
        <v>320</v>
      </c>
      <c r="B214" s="107" t="s">
        <v>111</v>
      </c>
      <c r="C214" s="106">
        <v>6171</v>
      </c>
      <c r="D214" s="106">
        <v>5137</v>
      </c>
      <c r="E214" s="108">
        <v>6171032000001</v>
      </c>
      <c r="F214" s="109" t="s">
        <v>34</v>
      </c>
      <c r="G214" s="96">
        <v>81</v>
      </c>
      <c r="I214" s="96">
        <v>90</v>
      </c>
      <c r="J214" s="96">
        <v>22.114999999999998</v>
      </c>
      <c r="K214" s="96">
        <v>26.384</v>
      </c>
      <c r="L214" s="96">
        <v>8.6760000000000002</v>
      </c>
    </row>
    <row r="215" spans="1:12" x14ac:dyDescent="0.2">
      <c r="A215" s="106">
        <v>320</v>
      </c>
      <c r="B215" s="107" t="s">
        <v>111</v>
      </c>
      <c r="C215" s="106">
        <v>6171</v>
      </c>
      <c r="D215" s="106">
        <v>5139</v>
      </c>
      <c r="E215" s="108">
        <v>6171032000001</v>
      </c>
      <c r="F215" s="109" t="s">
        <v>56</v>
      </c>
      <c r="G215" s="96">
        <v>133</v>
      </c>
      <c r="I215" s="96">
        <v>134</v>
      </c>
      <c r="J215" s="96">
        <v>25.954999999999998</v>
      </c>
      <c r="K215" s="96">
        <v>86.23</v>
      </c>
      <c r="L215" s="96">
        <v>69.102999999999994</v>
      </c>
    </row>
    <row r="216" spans="1:12" x14ac:dyDescent="0.2">
      <c r="A216" s="106">
        <v>320</v>
      </c>
      <c r="B216" s="107" t="s">
        <v>111</v>
      </c>
      <c r="C216" s="106">
        <v>6171</v>
      </c>
      <c r="D216" s="106">
        <v>5151</v>
      </c>
      <c r="E216" s="108">
        <v>6171032000001</v>
      </c>
      <c r="F216" s="109" t="s">
        <v>113</v>
      </c>
      <c r="G216" s="96">
        <v>87</v>
      </c>
      <c r="I216" s="96">
        <v>70.182000000000002</v>
      </c>
      <c r="J216" s="96">
        <v>56.194000000000003</v>
      </c>
      <c r="K216" s="96">
        <v>86.754999999999995</v>
      </c>
      <c r="L216" s="96">
        <v>89.036000000000001</v>
      </c>
    </row>
    <row r="217" spans="1:12" x14ac:dyDescent="0.2">
      <c r="A217" s="106">
        <v>320</v>
      </c>
      <c r="B217" s="107" t="s">
        <v>111</v>
      </c>
      <c r="C217" s="106">
        <v>6171</v>
      </c>
      <c r="D217" s="106">
        <v>5152</v>
      </c>
      <c r="E217" s="108">
        <v>6171032000001</v>
      </c>
      <c r="F217" s="109" t="s">
        <v>114</v>
      </c>
      <c r="G217" s="96">
        <v>478</v>
      </c>
      <c r="I217" s="96">
        <v>378.21199999999999</v>
      </c>
      <c r="J217" s="96">
        <v>288.70800000000003</v>
      </c>
      <c r="K217" s="96">
        <v>451.09199999999998</v>
      </c>
      <c r="L217" s="96">
        <v>458.89400000000001</v>
      </c>
    </row>
    <row r="218" spans="1:12" x14ac:dyDescent="0.2">
      <c r="A218" s="106">
        <v>320</v>
      </c>
      <c r="B218" s="107" t="s">
        <v>111</v>
      </c>
      <c r="C218" s="106">
        <v>6171</v>
      </c>
      <c r="D218" s="106">
        <v>5154</v>
      </c>
      <c r="E218" s="108">
        <v>6171032000001</v>
      </c>
      <c r="F218" s="109" t="s">
        <v>115</v>
      </c>
      <c r="G218" s="96">
        <f>122</f>
        <v>122</v>
      </c>
      <c r="I218" s="96">
        <v>92.775000000000006</v>
      </c>
      <c r="J218" s="96">
        <v>72.085999999999999</v>
      </c>
      <c r="K218" s="96">
        <v>110.959</v>
      </c>
      <c r="L218" s="96">
        <v>112.52500000000001</v>
      </c>
    </row>
    <row r="219" spans="1:12" x14ac:dyDescent="0.2">
      <c r="A219" s="106">
        <v>320</v>
      </c>
      <c r="B219" s="107" t="s">
        <v>111</v>
      </c>
      <c r="C219" s="106">
        <v>6171</v>
      </c>
      <c r="D219" s="106">
        <v>5156</v>
      </c>
      <c r="E219" s="108">
        <v>6171032000001</v>
      </c>
      <c r="F219" s="109" t="s">
        <v>105</v>
      </c>
      <c r="G219" s="96">
        <v>78</v>
      </c>
      <c r="I219" s="96">
        <v>66</v>
      </c>
      <c r="J219" s="96">
        <v>33.128</v>
      </c>
      <c r="K219" s="96">
        <v>29.718</v>
      </c>
      <c r="L219" s="96">
        <v>48.192999999999998</v>
      </c>
    </row>
    <row r="220" spans="1:12" x14ac:dyDescent="0.2">
      <c r="A220" s="106">
        <v>320</v>
      </c>
      <c r="B220" s="107" t="s">
        <v>111</v>
      </c>
      <c r="C220" s="106">
        <v>6171</v>
      </c>
      <c r="D220" s="106">
        <v>5161</v>
      </c>
      <c r="E220" s="108">
        <v>6171032000001</v>
      </c>
      <c r="F220" s="109" t="s">
        <v>81</v>
      </c>
      <c r="G220" s="96">
        <v>60</v>
      </c>
      <c r="I220" s="96">
        <v>48</v>
      </c>
      <c r="J220" s="96">
        <v>18.95</v>
      </c>
      <c r="K220" s="96">
        <v>44.826000000000001</v>
      </c>
      <c r="L220" s="96">
        <v>52.787999999999997</v>
      </c>
    </row>
    <row r="221" spans="1:12" x14ac:dyDescent="0.2">
      <c r="A221" s="106">
        <v>320</v>
      </c>
      <c r="B221" s="107" t="s">
        <v>111</v>
      </c>
      <c r="C221" s="106">
        <v>6171</v>
      </c>
      <c r="D221" s="106">
        <v>5162</v>
      </c>
      <c r="E221" s="108">
        <v>6171032000001</v>
      </c>
      <c r="F221" s="109" t="s">
        <v>106</v>
      </c>
      <c r="G221" s="96">
        <v>180</v>
      </c>
      <c r="I221" s="96">
        <v>168</v>
      </c>
      <c r="J221" s="96">
        <v>106.17700000000001</v>
      </c>
      <c r="K221" s="96">
        <v>139.55199999999999</v>
      </c>
      <c r="L221" s="96">
        <v>155.09100000000001</v>
      </c>
    </row>
    <row r="222" spans="1:12" x14ac:dyDescent="0.2">
      <c r="A222" s="106">
        <v>320</v>
      </c>
      <c r="B222" s="107" t="s">
        <v>111</v>
      </c>
      <c r="C222" s="106">
        <v>6171</v>
      </c>
      <c r="D222" s="106">
        <v>5164</v>
      </c>
      <c r="E222" s="108">
        <v>6171032000001</v>
      </c>
      <c r="F222" s="109" t="s">
        <v>116</v>
      </c>
      <c r="G222" s="96">
        <v>3878</v>
      </c>
      <c r="I222" s="96">
        <v>4658.7089999999998</v>
      </c>
      <c r="J222" s="96">
        <v>3436.23</v>
      </c>
      <c r="K222" s="96">
        <v>4251.567</v>
      </c>
      <c r="L222" s="96">
        <v>4390.6790000000001</v>
      </c>
    </row>
    <row r="223" spans="1:12" x14ac:dyDescent="0.2">
      <c r="A223" s="106">
        <v>320</v>
      </c>
      <c r="B223" s="107" t="s">
        <v>111</v>
      </c>
      <c r="C223" s="106">
        <v>6171</v>
      </c>
      <c r="D223" s="106">
        <v>5167</v>
      </c>
      <c r="E223" s="108">
        <v>6171032000001</v>
      </c>
      <c r="F223" s="109" t="s">
        <v>87</v>
      </c>
      <c r="G223" s="96">
        <v>465</v>
      </c>
      <c r="I223" s="96">
        <v>450</v>
      </c>
      <c r="J223" s="96">
        <v>197.15600000000001</v>
      </c>
      <c r="K223" s="96">
        <v>91.17</v>
      </c>
      <c r="L223" s="96">
        <v>323.42</v>
      </c>
    </row>
    <row r="224" spans="1:12" x14ac:dyDescent="0.2">
      <c r="A224" s="106">
        <v>320</v>
      </c>
      <c r="B224" s="107" t="s">
        <v>111</v>
      </c>
      <c r="C224" s="106">
        <v>6171</v>
      </c>
      <c r="D224" s="106">
        <v>5169</v>
      </c>
      <c r="E224" s="108">
        <v>6171032000001</v>
      </c>
      <c r="F224" s="109" t="s">
        <v>20</v>
      </c>
      <c r="G224" s="96">
        <v>276</v>
      </c>
      <c r="I224" s="96">
        <v>300</v>
      </c>
      <c r="J224" s="96">
        <v>134.50700000000001</v>
      </c>
      <c r="K224" s="96">
        <v>206.62100000000001</v>
      </c>
      <c r="L224" s="96">
        <v>222.23599999999999</v>
      </c>
    </row>
    <row r="225" spans="1:12" x14ac:dyDescent="0.2">
      <c r="A225" s="106">
        <v>320</v>
      </c>
      <c r="B225" s="107" t="s">
        <v>111</v>
      </c>
      <c r="C225" s="106">
        <v>6171</v>
      </c>
      <c r="D225" s="106">
        <v>5171</v>
      </c>
      <c r="E225" s="108">
        <v>6171032000001</v>
      </c>
      <c r="F225" s="109" t="s">
        <v>118</v>
      </c>
      <c r="G225" s="96">
        <v>60</v>
      </c>
      <c r="I225" s="96">
        <v>60</v>
      </c>
      <c r="J225" s="96">
        <v>15.039</v>
      </c>
      <c r="K225" s="96">
        <v>43.890999999999998</v>
      </c>
      <c r="L225" s="96">
        <v>86.957999999999998</v>
      </c>
    </row>
    <row r="226" spans="1:12" x14ac:dyDescent="0.2">
      <c r="A226" s="106">
        <v>320</v>
      </c>
      <c r="B226" s="107" t="s">
        <v>111</v>
      </c>
      <c r="C226" s="106">
        <v>6171</v>
      </c>
      <c r="D226" s="106">
        <v>5173</v>
      </c>
      <c r="E226" s="108">
        <v>6171032000001</v>
      </c>
      <c r="F226" s="109" t="s">
        <v>60</v>
      </c>
      <c r="G226" s="96">
        <v>180</v>
      </c>
      <c r="I226" s="96">
        <v>180</v>
      </c>
      <c r="J226" s="96">
        <v>87.094999999999999</v>
      </c>
      <c r="K226" s="96">
        <v>86.006</v>
      </c>
      <c r="L226" s="96">
        <v>164.733</v>
      </c>
    </row>
    <row r="227" spans="1:12" x14ac:dyDescent="0.2">
      <c r="A227" s="106">
        <v>320</v>
      </c>
      <c r="B227" s="107" t="s">
        <v>111</v>
      </c>
      <c r="C227" s="106">
        <v>6171</v>
      </c>
      <c r="D227" s="106">
        <v>5194</v>
      </c>
      <c r="E227" s="108">
        <v>6171032000001</v>
      </c>
      <c r="F227" s="109" t="s">
        <v>119</v>
      </c>
      <c r="G227" s="96">
        <v>8</v>
      </c>
      <c r="I227" s="96">
        <v>8</v>
      </c>
      <c r="J227" s="96">
        <v>1.8959999999999999</v>
      </c>
      <c r="K227" s="96">
        <v>3.2210000000000001</v>
      </c>
      <c r="L227" s="96">
        <v>7.9939999999999998</v>
      </c>
    </row>
    <row r="228" spans="1:12" x14ac:dyDescent="0.2">
      <c r="A228" s="106">
        <v>320</v>
      </c>
      <c r="B228" s="107" t="s">
        <v>111</v>
      </c>
      <c r="C228" s="106">
        <v>6171</v>
      </c>
      <c r="D228" s="106">
        <v>5362</v>
      </c>
      <c r="E228" s="108">
        <v>6171032000001</v>
      </c>
      <c r="F228" s="109" t="s">
        <v>121</v>
      </c>
      <c r="G228" s="96">
        <v>4.5</v>
      </c>
      <c r="I228" s="96">
        <v>4.5</v>
      </c>
      <c r="J228" s="96">
        <v>4.5</v>
      </c>
      <c r="K228" s="96">
        <v>4.5</v>
      </c>
      <c r="L228" s="96">
        <v>4.5</v>
      </c>
    </row>
    <row r="229" spans="1:12" ht="13.5" thickBot="1" x14ac:dyDescent="0.25">
      <c r="A229" s="106"/>
      <c r="B229" s="107"/>
      <c r="C229" s="106"/>
      <c r="D229" s="106"/>
      <c r="E229" s="108"/>
      <c r="F229" s="109" t="s">
        <v>503</v>
      </c>
      <c r="G229" s="96"/>
      <c r="I229" s="96"/>
      <c r="J229" s="96"/>
      <c r="K229" s="96">
        <f>8.912</f>
        <v>8.9120000000000008</v>
      </c>
      <c r="L229" s="96">
        <f>86.382+23.861+0.5</f>
        <v>110.74300000000001</v>
      </c>
    </row>
    <row r="230" spans="1:12" x14ac:dyDescent="0.2">
      <c r="A230" s="110"/>
      <c r="B230" s="111" t="s">
        <v>17</v>
      </c>
      <c r="C230" s="112">
        <v>6171</v>
      </c>
      <c r="D230" s="113"/>
      <c r="E230" s="114"/>
      <c r="F230" s="115"/>
      <c r="G230" s="116">
        <f>SUM(G208:G229)</f>
        <v>24553.93</v>
      </c>
      <c r="I230" s="116">
        <f>SUM(I208:I229)</f>
        <v>24133.596999999998</v>
      </c>
      <c r="J230" s="116">
        <f>SUM(J208:J229)</f>
        <v>18891.463000000003</v>
      </c>
      <c r="K230" s="116">
        <f>SUM(K208:K229)</f>
        <v>21162.553</v>
      </c>
      <c r="L230" s="116">
        <f>SUM(L208:L229)</f>
        <v>21213.239999999994</v>
      </c>
    </row>
    <row r="231" spans="1:12" x14ac:dyDescent="0.2">
      <c r="A231" s="106"/>
      <c r="B231" s="107"/>
      <c r="C231" s="106"/>
      <c r="D231" s="106"/>
      <c r="E231" s="108"/>
      <c r="F231" s="109"/>
      <c r="G231" s="96"/>
      <c r="I231" s="96"/>
      <c r="J231" s="96"/>
      <c r="K231" s="96"/>
      <c r="L231" s="96"/>
    </row>
    <row r="232" spans="1:12" x14ac:dyDescent="0.2">
      <c r="A232" s="106">
        <v>320</v>
      </c>
      <c r="B232" s="107" t="s">
        <v>111</v>
      </c>
      <c r="C232" s="106">
        <v>6171</v>
      </c>
      <c r="D232" s="106">
        <v>5163</v>
      </c>
      <c r="E232" s="108">
        <v>6171032000001</v>
      </c>
      <c r="F232" s="109" t="s">
        <v>438</v>
      </c>
      <c r="G232" s="96">
        <v>11</v>
      </c>
      <c r="I232" s="96">
        <v>11</v>
      </c>
      <c r="J232" s="96">
        <v>0</v>
      </c>
      <c r="K232" s="96">
        <v>5.6</v>
      </c>
      <c r="L232" s="96">
        <v>10.705</v>
      </c>
    </row>
    <row r="233" spans="1:12" x14ac:dyDescent="0.2">
      <c r="A233" s="106">
        <v>320</v>
      </c>
      <c r="B233" s="107" t="s">
        <v>111</v>
      </c>
      <c r="C233" s="106">
        <v>6171</v>
      </c>
      <c r="D233" s="106">
        <v>5164</v>
      </c>
      <c r="E233" s="108">
        <v>6171032000001</v>
      </c>
      <c r="F233" s="109" t="s">
        <v>439</v>
      </c>
      <c r="G233" s="96">
        <v>0</v>
      </c>
      <c r="I233" s="96"/>
      <c r="J233" s="96"/>
      <c r="K233" s="96">
        <v>340.096</v>
      </c>
      <c r="L233" s="96">
        <v>0</v>
      </c>
    </row>
    <row r="234" spans="1:12" x14ac:dyDescent="0.2">
      <c r="A234" s="106">
        <v>320</v>
      </c>
      <c r="B234" s="107" t="s">
        <v>111</v>
      </c>
      <c r="C234" s="106">
        <v>6171</v>
      </c>
      <c r="D234" s="106">
        <v>5166</v>
      </c>
      <c r="E234" s="108">
        <v>6171032000001</v>
      </c>
      <c r="F234" s="109" t="s">
        <v>440</v>
      </c>
      <c r="G234" s="96">
        <v>60</v>
      </c>
      <c r="I234" s="96">
        <v>60</v>
      </c>
      <c r="J234" s="96">
        <v>17</v>
      </c>
      <c r="K234" s="96">
        <v>32</v>
      </c>
      <c r="L234" s="96">
        <v>84</v>
      </c>
    </row>
    <row r="235" spans="1:12" x14ac:dyDescent="0.2">
      <c r="A235" s="106">
        <v>320</v>
      </c>
      <c r="B235" s="107" t="s">
        <v>111</v>
      </c>
      <c r="C235" s="106">
        <v>6171</v>
      </c>
      <c r="D235" s="106">
        <v>5167</v>
      </c>
      <c r="E235" s="108">
        <v>6171032000001</v>
      </c>
      <c r="F235" s="109" t="s">
        <v>117</v>
      </c>
      <c r="G235" s="96">
        <v>150</v>
      </c>
      <c r="I235" s="96">
        <v>150</v>
      </c>
      <c r="J235" s="96">
        <v>3.8</v>
      </c>
      <c r="K235" s="96">
        <v>2.89</v>
      </c>
      <c r="L235" s="96">
        <v>34.284999999999997</v>
      </c>
    </row>
    <row r="236" spans="1:12" x14ac:dyDescent="0.2">
      <c r="A236" s="106">
        <v>320</v>
      </c>
      <c r="B236" s="107" t="s">
        <v>111</v>
      </c>
      <c r="C236" s="106">
        <v>6171</v>
      </c>
      <c r="D236" s="106">
        <v>5169</v>
      </c>
      <c r="E236" s="108">
        <v>6171032000001</v>
      </c>
      <c r="F236" s="109" t="s">
        <v>538</v>
      </c>
      <c r="G236" s="96">
        <f>347+50</f>
        <v>397</v>
      </c>
      <c r="I236" s="96">
        <v>196</v>
      </c>
      <c r="J236" s="96">
        <v>150.84899999999999</v>
      </c>
      <c r="K236" s="96">
        <v>184.999</v>
      </c>
      <c r="L236" s="96">
        <v>200.41499999999999</v>
      </c>
    </row>
    <row r="237" spans="1:12" x14ac:dyDescent="0.2">
      <c r="A237" s="106">
        <v>320</v>
      </c>
      <c r="B237" s="107" t="s">
        <v>111</v>
      </c>
      <c r="C237" s="106">
        <v>6171</v>
      </c>
      <c r="D237" s="106">
        <v>5175</v>
      </c>
      <c r="E237" s="108">
        <v>6171032000001</v>
      </c>
      <c r="F237" s="109" t="s">
        <v>408</v>
      </c>
      <c r="G237" s="96">
        <v>10</v>
      </c>
      <c r="I237" s="96">
        <v>10</v>
      </c>
      <c r="J237" s="96">
        <v>1.544</v>
      </c>
      <c r="K237" s="96">
        <v>12.853999999999999</v>
      </c>
      <c r="L237" s="96">
        <v>8.5540000000000003</v>
      </c>
    </row>
    <row r="238" spans="1:12" x14ac:dyDescent="0.2">
      <c r="A238" s="106">
        <v>320</v>
      </c>
      <c r="B238" s="107" t="s">
        <v>111</v>
      </c>
      <c r="C238" s="106">
        <v>6171</v>
      </c>
      <c r="D238" s="106">
        <v>5194</v>
      </c>
      <c r="E238" s="108">
        <v>6171032000001</v>
      </c>
      <c r="F238" s="109" t="s">
        <v>409</v>
      </c>
      <c r="G238" s="96">
        <v>7</v>
      </c>
      <c r="I238" s="96">
        <v>7</v>
      </c>
      <c r="J238" s="96">
        <v>0</v>
      </c>
      <c r="K238" s="96">
        <v>0</v>
      </c>
      <c r="L238" s="96">
        <v>6.8470000000000004</v>
      </c>
    </row>
    <row r="239" spans="1:12" x14ac:dyDescent="0.2">
      <c r="A239" s="106">
        <v>320</v>
      </c>
      <c r="B239" s="107" t="s">
        <v>111</v>
      </c>
      <c r="C239" s="106">
        <v>6171</v>
      </c>
      <c r="D239" s="106">
        <v>5901</v>
      </c>
      <c r="E239" s="108">
        <v>6171032000001</v>
      </c>
      <c r="F239" s="109" t="s">
        <v>487</v>
      </c>
      <c r="G239" s="96">
        <v>0</v>
      </c>
      <c r="I239" s="96">
        <v>1000</v>
      </c>
      <c r="J239" s="96">
        <v>0</v>
      </c>
      <c r="K239" s="96"/>
      <c r="L239" s="96"/>
    </row>
    <row r="240" spans="1:12" ht="13.5" thickBot="1" x14ac:dyDescent="0.25">
      <c r="A240" s="106"/>
      <c r="B240" s="107"/>
      <c r="C240" s="106"/>
      <c r="D240" s="106"/>
      <c r="E240" s="108"/>
      <c r="F240" s="109" t="s">
        <v>503</v>
      </c>
      <c r="G240" s="96"/>
      <c r="I240" s="96"/>
      <c r="J240" s="96">
        <v>178.285</v>
      </c>
      <c r="K240" s="96">
        <v>1</v>
      </c>
      <c r="L240" s="96">
        <f>222.352</f>
        <v>222.352</v>
      </c>
    </row>
    <row r="241" spans="1:12" x14ac:dyDescent="0.2">
      <c r="A241" s="110"/>
      <c r="B241" s="111" t="s">
        <v>17</v>
      </c>
      <c r="C241" s="112">
        <v>6171</v>
      </c>
      <c r="D241" s="113"/>
      <c r="E241" s="114"/>
      <c r="F241" s="115"/>
      <c r="G241" s="116">
        <f>SUM(G232:G240)</f>
        <v>635</v>
      </c>
      <c r="I241" s="116">
        <f>SUM(I232:I240)</f>
        <v>1434</v>
      </c>
      <c r="J241" s="116">
        <f>SUM(J232:J240)</f>
        <v>351.47800000000001</v>
      </c>
      <c r="K241" s="116">
        <f>SUM(K232:K240)</f>
        <v>579.43900000000008</v>
      </c>
      <c r="L241" s="116">
        <f>SUM(L232:L240)</f>
        <v>567.1579999999999</v>
      </c>
    </row>
    <row r="243" spans="1:12" x14ac:dyDescent="0.2">
      <c r="A243" s="124"/>
      <c r="B243" s="125" t="s">
        <v>122</v>
      </c>
      <c r="C243" s="126"/>
      <c r="D243" s="127"/>
      <c r="E243" s="128"/>
      <c r="F243" s="129"/>
      <c r="G243" s="130">
        <f>SUM(G241,G230,G206)</f>
        <v>27309.18</v>
      </c>
      <c r="I243" s="130">
        <f>SUM(I241,I230,I206)</f>
        <v>27733.617999999999</v>
      </c>
      <c r="J243" s="130">
        <f>SUM(J241,J230,J206)</f>
        <v>20465.439000000002</v>
      </c>
      <c r="K243" s="130">
        <f>SUM(K241,K230,K206)</f>
        <v>23594.123</v>
      </c>
      <c r="L243" s="130">
        <f>SUM(L241,L230,L206)</f>
        <v>25257.990999999995</v>
      </c>
    </row>
    <row r="246" spans="1:12" x14ac:dyDescent="0.2">
      <c r="A246" s="106">
        <v>400</v>
      </c>
      <c r="B246" s="107" t="s">
        <v>123</v>
      </c>
      <c r="C246" s="106">
        <v>3635</v>
      </c>
      <c r="D246" s="106">
        <v>5169</v>
      </c>
      <c r="E246" s="108">
        <v>3635000000001</v>
      </c>
      <c r="F246" s="109" t="s">
        <v>539</v>
      </c>
      <c r="G246" s="96">
        <v>150</v>
      </c>
      <c r="I246" s="96"/>
      <c r="J246" s="96"/>
      <c r="K246" s="96">
        <v>0</v>
      </c>
      <c r="L246" s="96"/>
    </row>
    <row r="247" spans="1:12" x14ac:dyDescent="0.2">
      <c r="A247" s="106">
        <v>400</v>
      </c>
      <c r="B247" s="107" t="s">
        <v>123</v>
      </c>
      <c r="C247" s="106">
        <v>3635</v>
      </c>
      <c r="D247" s="106">
        <v>5169</v>
      </c>
      <c r="E247" s="108">
        <v>3635000000001</v>
      </c>
      <c r="F247" s="109" t="s">
        <v>441</v>
      </c>
      <c r="G247" s="96">
        <v>45</v>
      </c>
      <c r="I247" s="96"/>
      <c r="J247" s="96"/>
      <c r="K247" s="96">
        <v>0</v>
      </c>
      <c r="L247" s="96"/>
    </row>
    <row r="248" spans="1:12" x14ac:dyDescent="0.2">
      <c r="A248" s="106">
        <v>400</v>
      </c>
      <c r="B248" s="107" t="s">
        <v>123</v>
      </c>
      <c r="C248" s="106">
        <v>3635</v>
      </c>
      <c r="D248" s="106">
        <v>5169</v>
      </c>
      <c r="E248" s="108">
        <v>3635000000001</v>
      </c>
      <c r="F248" s="109" t="s">
        <v>540</v>
      </c>
      <c r="G248" s="96">
        <v>200</v>
      </c>
      <c r="I248" s="96"/>
      <c r="J248" s="96"/>
      <c r="K248" s="96">
        <v>0</v>
      </c>
      <c r="L248" s="96"/>
    </row>
    <row r="249" spans="1:12" x14ac:dyDescent="0.2">
      <c r="A249" s="106">
        <v>400</v>
      </c>
      <c r="B249" s="107" t="s">
        <v>123</v>
      </c>
      <c r="C249" s="106">
        <v>3635</v>
      </c>
      <c r="D249" s="106">
        <v>5169</v>
      </c>
      <c r="E249" s="108">
        <v>3635000000001</v>
      </c>
      <c r="F249" s="109" t="s">
        <v>541</v>
      </c>
      <c r="G249" s="96">
        <v>50</v>
      </c>
      <c r="I249" s="96"/>
      <c r="J249" s="96"/>
      <c r="K249" s="96">
        <v>0</v>
      </c>
      <c r="L249" s="96"/>
    </row>
    <row r="250" spans="1:12" x14ac:dyDescent="0.2">
      <c r="A250" s="106">
        <v>400</v>
      </c>
      <c r="B250" s="107" t="s">
        <v>123</v>
      </c>
      <c r="C250" s="106">
        <v>3635</v>
      </c>
      <c r="D250" s="106">
        <v>5169</v>
      </c>
      <c r="E250" s="108">
        <v>3635000000001</v>
      </c>
      <c r="F250" s="109" t="s">
        <v>542</v>
      </c>
      <c r="G250" s="96">
        <v>400</v>
      </c>
      <c r="I250" s="96"/>
      <c r="J250" s="96"/>
      <c r="K250" s="96">
        <v>0</v>
      </c>
      <c r="L250" s="96"/>
    </row>
    <row r="251" spans="1:12" x14ac:dyDescent="0.2">
      <c r="A251" s="106">
        <v>400</v>
      </c>
      <c r="B251" s="107" t="s">
        <v>123</v>
      </c>
      <c r="C251" s="106">
        <v>3635</v>
      </c>
      <c r="D251" s="106">
        <v>5169</v>
      </c>
      <c r="E251" s="108">
        <v>3635000000001</v>
      </c>
      <c r="F251" s="109" t="s">
        <v>543</v>
      </c>
      <c r="G251" s="96">
        <v>0</v>
      </c>
      <c r="I251" s="96">
        <v>610</v>
      </c>
      <c r="J251" s="96">
        <v>60.439</v>
      </c>
      <c r="K251" s="96">
        <v>255.55199999999999</v>
      </c>
      <c r="L251" s="96"/>
    </row>
    <row r="252" spans="1:12" ht="13.5" thickBot="1" x14ac:dyDescent="0.25">
      <c r="A252" s="106"/>
      <c r="B252" s="107"/>
      <c r="C252" s="106"/>
      <c r="D252" s="106"/>
      <c r="E252" s="108"/>
      <c r="F252" s="109" t="s">
        <v>503</v>
      </c>
      <c r="G252" s="96"/>
      <c r="I252" s="96"/>
      <c r="J252" s="96"/>
      <c r="K252" s="96"/>
      <c r="L252" s="96">
        <f>46.827</f>
        <v>46.826999999999998</v>
      </c>
    </row>
    <row r="253" spans="1:12" x14ac:dyDescent="0.2">
      <c r="A253" s="110"/>
      <c r="B253" s="111" t="s">
        <v>17</v>
      </c>
      <c r="C253" s="112">
        <v>3635</v>
      </c>
      <c r="D253" s="113"/>
      <c r="E253" s="114"/>
      <c r="F253" s="115"/>
      <c r="G253" s="116">
        <f>SUM(G246:G252)</f>
        <v>845</v>
      </c>
      <c r="I253" s="116">
        <f>SUM(I246:I252)</f>
        <v>610</v>
      </c>
      <c r="J253" s="116">
        <f>SUM(J246:J252)</f>
        <v>60.439</v>
      </c>
      <c r="K253" s="116">
        <f>SUM(K246:K252)</f>
        <v>255.55199999999999</v>
      </c>
      <c r="L253" s="116">
        <f>SUM(L246:L252)</f>
        <v>46.826999999999998</v>
      </c>
    </row>
    <row r="255" spans="1:12" x14ac:dyDescent="0.2">
      <c r="A255" s="106">
        <v>400</v>
      </c>
      <c r="B255" s="107" t="s">
        <v>124</v>
      </c>
      <c r="C255" s="106">
        <v>6171</v>
      </c>
      <c r="D255" s="106">
        <v>5011</v>
      </c>
      <c r="E255" s="108">
        <v>6171040000001</v>
      </c>
      <c r="F255" s="109" t="s">
        <v>51</v>
      </c>
      <c r="G255" s="96">
        <v>4894</v>
      </c>
      <c r="I255" s="96">
        <v>4901</v>
      </c>
      <c r="J255" s="96">
        <v>3444.857</v>
      </c>
      <c r="K255" s="96">
        <v>4235.9480000000003</v>
      </c>
      <c r="L255" s="96">
        <v>4485.7929999999997</v>
      </c>
    </row>
    <row r="256" spans="1:12" x14ac:dyDescent="0.2">
      <c r="A256" s="106">
        <v>400</v>
      </c>
      <c r="B256" s="107" t="s">
        <v>124</v>
      </c>
      <c r="C256" s="106">
        <v>6171</v>
      </c>
      <c r="D256" s="106">
        <v>5021</v>
      </c>
      <c r="E256" s="108">
        <v>6171040000001</v>
      </c>
      <c r="F256" s="109" t="s">
        <v>181</v>
      </c>
      <c r="G256" s="96">
        <v>300</v>
      </c>
      <c r="I256" s="96">
        <v>0</v>
      </c>
      <c r="J256" s="96">
        <v>258.92599999999999</v>
      </c>
      <c r="K256" s="96">
        <v>65.040999999999997</v>
      </c>
      <c r="L256" s="96">
        <v>2.9750000000000001</v>
      </c>
    </row>
    <row r="257" spans="1:12" x14ac:dyDescent="0.2">
      <c r="A257" s="106">
        <v>400</v>
      </c>
      <c r="B257" s="107" t="s">
        <v>124</v>
      </c>
      <c r="C257" s="106">
        <v>6171</v>
      </c>
      <c r="D257" s="106">
        <v>5031</v>
      </c>
      <c r="E257" s="108">
        <v>6171040000001</v>
      </c>
      <c r="F257" s="109" t="s">
        <v>126</v>
      </c>
      <c r="G257" s="96">
        <v>1214</v>
      </c>
      <c r="I257" s="96">
        <v>1215</v>
      </c>
      <c r="J257" s="96">
        <v>905.22400000000005</v>
      </c>
      <c r="K257" s="96">
        <v>1048.1890000000001</v>
      </c>
      <c r="L257" s="96">
        <v>1107.741</v>
      </c>
    </row>
    <row r="258" spans="1:12" x14ac:dyDescent="0.2">
      <c r="A258" s="106">
        <v>400</v>
      </c>
      <c r="B258" s="107" t="s">
        <v>124</v>
      </c>
      <c r="C258" s="106">
        <v>6171</v>
      </c>
      <c r="D258" s="106">
        <v>5032</v>
      </c>
      <c r="E258" s="108">
        <v>6171040000001</v>
      </c>
      <c r="F258" s="109" t="s">
        <v>127</v>
      </c>
      <c r="G258" s="96">
        <v>441</v>
      </c>
      <c r="I258" s="96">
        <v>441</v>
      </c>
      <c r="J258" s="96">
        <v>330.38799999999998</v>
      </c>
      <c r="K258" s="96">
        <v>380.38600000000002</v>
      </c>
      <c r="L258" s="96">
        <v>400.17200000000003</v>
      </c>
    </row>
    <row r="259" spans="1:12" x14ac:dyDescent="0.2">
      <c r="A259" s="106">
        <v>400</v>
      </c>
      <c r="B259" s="107" t="s">
        <v>124</v>
      </c>
      <c r="C259" s="106">
        <v>6171</v>
      </c>
      <c r="D259" s="106">
        <v>5136</v>
      </c>
      <c r="E259" s="108">
        <v>6171040000001</v>
      </c>
      <c r="F259" s="109" t="s">
        <v>55</v>
      </c>
      <c r="G259" s="96">
        <v>15</v>
      </c>
      <c r="I259" s="96">
        <v>5</v>
      </c>
      <c r="J259" s="96">
        <v>0.58899999999999997</v>
      </c>
      <c r="K259" s="96">
        <v>2.0430000000000001</v>
      </c>
      <c r="L259" s="96">
        <v>3.3540000000000001</v>
      </c>
    </row>
    <row r="260" spans="1:12" x14ac:dyDescent="0.2">
      <c r="A260" s="106">
        <v>400</v>
      </c>
      <c r="B260" s="107" t="s">
        <v>124</v>
      </c>
      <c r="C260" s="106">
        <v>6171</v>
      </c>
      <c r="D260" s="106">
        <v>5139</v>
      </c>
      <c r="E260" s="108">
        <v>6171040000001</v>
      </c>
      <c r="F260" s="109" t="s">
        <v>128</v>
      </c>
      <c r="G260" s="96">
        <v>10</v>
      </c>
      <c r="I260" s="96">
        <v>10</v>
      </c>
      <c r="J260" s="96">
        <v>2.327</v>
      </c>
      <c r="K260" s="96">
        <v>9.9830000000000005</v>
      </c>
      <c r="L260" s="96">
        <v>9.0640000000000001</v>
      </c>
    </row>
    <row r="261" spans="1:12" x14ac:dyDescent="0.2">
      <c r="A261" s="106">
        <v>400</v>
      </c>
      <c r="B261" s="107" t="s">
        <v>124</v>
      </c>
      <c r="C261" s="106">
        <v>6171</v>
      </c>
      <c r="D261" s="106">
        <v>5166</v>
      </c>
      <c r="E261" s="108">
        <v>6171040000001</v>
      </c>
      <c r="F261" s="109" t="s">
        <v>129</v>
      </c>
      <c r="G261" s="96">
        <v>50</v>
      </c>
      <c r="I261" s="96">
        <v>50</v>
      </c>
      <c r="J261" s="96">
        <v>0</v>
      </c>
      <c r="K261" s="96">
        <v>0</v>
      </c>
      <c r="L261" s="96">
        <v>0</v>
      </c>
    </row>
    <row r="262" spans="1:12" x14ac:dyDescent="0.2">
      <c r="A262" s="106">
        <v>400</v>
      </c>
      <c r="B262" s="107" t="s">
        <v>124</v>
      </c>
      <c r="C262" s="106">
        <v>6171</v>
      </c>
      <c r="D262" s="106">
        <v>5167</v>
      </c>
      <c r="E262" s="108">
        <v>6171040000001</v>
      </c>
      <c r="F262" s="109" t="s">
        <v>87</v>
      </c>
      <c r="G262" s="96">
        <v>133</v>
      </c>
      <c r="I262" s="96">
        <v>80</v>
      </c>
      <c r="J262" s="96">
        <v>2.62</v>
      </c>
      <c r="K262" s="96">
        <v>22.609000000000002</v>
      </c>
      <c r="L262" s="96">
        <v>35.607999999999997</v>
      </c>
    </row>
    <row r="263" spans="1:12" x14ac:dyDescent="0.2">
      <c r="A263" s="106">
        <v>400</v>
      </c>
      <c r="B263" s="107" t="s">
        <v>124</v>
      </c>
      <c r="C263" s="106">
        <v>6171</v>
      </c>
      <c r="D263" s="106">
        <v>5169</v>
      </c>
      <c r="E263" s="108">
        <v>6171040000001</v>
      </c>
      <c r="F263" s="109" t="s">
        <v>20</v>
      </c>
      <c r="G263" s="96">
        <v>8</v>
      </c>
      <c r="I263" s="96">
        <v>2</v>
      </c>
      <c r="J263" s="96">
        <v>18.37</v>
      </c>
      <c r="K263" s="96">
        <v>0.21199999999999999</v>
      </c>
      <c r="L263" s="96">
        <v>0</v>
      </c>
    </row>
    <row r="264" spans="1:12" x14ac:dyDescent="0.2">
      <c r="A264" s="106">
        <v>400</v>
      </c>
      <c r="B264" s="107" t="s">
        <v>124</v>
      </c>
      <c r="C264" s="106">
        <v>6171</v>
      </c>
      <c r="D264" s="106">
        <v>5173</v>
      </c>
      <c r="E264" s="108">
        <v>6171040000001</v>
      </c>
      <c r="F264" s="109" t="s">
        <v>60</v>
      </c>
      <c r="G264" s="96">
        <v>25</v>
      </c>
      <c r="I264" s="96">
        <v>15</v>
      </c>
      <c r="J264" s="96">
        <v>14.55</v>
      </c>
      <c r="K264" s="96">
        <v>2.9420000000000002</v>
      </c>
      <c r="L264" s="96">
        <v>15.247999999999999</v>
      </c>
    </row>
    <row r="265" spans="1:12" x14ac:dyDescent="0.2">
      <c r="A265" s="106">
        <v>400</v>
      </c>
      <c r="B265" s="107" t="s">
        <v>124</v>
      </c>
      <c r="C265" s="106">
        <v>6171</v>
      </c>
      <c r="D265" s="106">
        <v>5175</v>
      </c>
      <c r="E265" s="108">
        <v>6171040000001</v>
      </c>
      <c r="F265" s="109" t="s">
        <v>28</v>
      </c>
      <c r="G265" s="96">
        <v>5</v>
      </c>
      <c r="I265" s="96">
        <v>3</v>
      </c>
      <c r="J265" s="96">
        <v>0.35899999999999999</v>
      </c>
      <c r="K265" s="96">
        <v>1.121</v>
      </c>
      <c r="L265" s="96">
        <v>0.80800000000000005</v>
      </c>
    </row>
    <row r="266" spans="1:12" x14ac:dyDescent="0.2">
      <c r="A266" s="106">
        <v>400</v>
      </c>
      <c r="B266" s="107" t="s">
        <v>124</v>
      </c>
      <c r="C266" s="106">
        <v>6171</v>
      </c>
      <c r="D266" s="106">
        <v>5176</v>
      </c>
      <c r="E266" s="108">
        <v>6171040000001</v>
      </c>
      <c r="F266" s="109" t="s">
        <v>61</v>
      </c>
      <c r="G266" s="96">
        <v>6</v>
      </c>
      <c r="I266" s="96"/>
      <c r="J266" s="96"/>
      <c r="K266" s="96">
        <v>0</v>
      </c>
      <c r="L266" s="96">
        <v>0</v>
      </c>
    </row>
    <row r="267" spans="1:12" ht="13.5" thickBot="1" x14ac:dyDescent="0.25">
      <c r="A267" s="106"/>
      <c r="B267" s="107"/>
      <c r="C267" s="106"/>
      <c r="D267" s="106"/>
      <c r="E267" s="108"/>
      <c r="F267" s="109" t="s">
        <v>503</v>
      </c>
      <c r="G267" s="96"/>
      <c r="I267" s="96"/>
      <c r="J267" s="96"/>
      <c r="K267" s="96"/>
      <c r="L267" s="96"/>
    </row>
    <row r="268" spans="1:12" x14ac:dyDescent="0.2">
      <c r="A268" s="110"/>
      <c r="B268" s="111" t="s">
        <v>17</v>
      </c>
      <c r="C268" s="112">
        <v>6171</v>
      </c>
      <c r="D268" s="113"/>
      <c r="E268" s="114"/>
      <c r="F268" s="115"/>
      <c r="G268" s="116">
        <f>SUM(G255:G267)</f>
        <v>7101</v>
      </c>
      <c r="I268" s="116">
        <f>SUM(I255:I267)</f>
        <v>6722</v>
      </c>
      <c r="J268" s="116">
        <f>SUM(J255:J267)</f>
        <v>4978.21</v>
      </c>
      <c r="K268" s="116">
        <f>SUM(K255:K267)</f>
        <v>5768.474000000002</v>
      </c>
      <c r="L268" s="116">
        <f>SUM(L255:L267)</f>
        <v>6060.7630000000008</v>
      </c>
    </row>
    <row r="270" spans="1:12" x14ac:dyDescent="0.2">
      <c r="A270" s="124"/>
      <c r="B270" s="125" t="s">
        <v>130</v>
      </c>
      <c r="C270" s="126"/>
      <c r="D270" s="127"/>
      <c r="E270" s="128"/>
      <c r="F270" s="129"/>
      <c r="G270" s="130">
        <f>SUM(G268,G253)</f>
        <v>7946</v>
      </c>
      <c r="I270" s="130">
        <f>SUM(I268,I253)</f>
        <v>7332</v>
      </c>
      <c r="J270" s="130">
        <f>SUM(J268,J253)</f>
        <v>5038.6490000000003</v>
      </c>
      <c r="K270" s="130">
        <f>SUM(K268,K253)</f>
        <v>6024.0260000000017</v>
      </c>
      <c r="L270" s="130">
        <f>SUM(L268,L253)</f>
        <v>6107.5900000000011</v>
      </c>
    </row>
    <row r="273" spans="1:12" x14ac:dyDescent="0.2">
      <c r="A273" s="106">
        <v>500</v>
      </c>
      <c r="B273" s="107" t="s">
        <v>131</v>
      </c>
      <c r="C273" s="106">
        <v>6171</v>
      </c>
      <c r="D273" s="106">
        <v>5011</v>
      </c>
      <c r="E273" s="108">
        <v>6171050000001</v>
      </c>
      <c r="F273" s="109" t="s">
        <v>51</v>
      </c>
      <c r="G273" s="96">
        <v>7582</v>
      </c>
      <c r="I273" s="96">
        <v>7489</v>
      </c>
      <c r="J273" s="96">
        <v>4992.99</v>
      </c>
      <c r="K273" s="96">
        <v>7076.1440000000002</v>
      </c>
      <c r="L273" s="96">
        <v>6889.0039999999999</v>
      </c>
    </row>
    <row r="274" spans="1:12" x14ac:dyDescent="0.2">
      <c r="A274" s="106">
        <v>500</v>
      </c>
      <c r="B274" s="107" t="s">
        <v>131</v>
      </c>
      <c r="C274" s="106">
        <v>6171</v>
      </c>
      <c r="D274" s="106">
        <v>5031</v>
      </c>
      <c r="E274" s="108">
        <v>6171050000001</v>
      </c>
      <c r="F274" s="109" t="s">
        <v>126</v>
      </c>
      <c r="G274" s="96">
        <v>1881</v>
      </c>
      <c r="I274" s="96">
        <v>1857</v>
      </c>
      <c r="J274" s="96">
        <v>1196.3630000000001</v>
      </c>
      <c r="K274" s="96">
        <v>1738.105</v>
      </c>
      <c r="L274" s="96">
        <v>1698.1569999999999</v>
      </c>
    </row>
    <row r="275" spans="1:12" x14ac:dyDescent="0.2">
      <c r="A275" s="106">
        <v>500</v>
      </c>
      <c r="B275" s="107" t="s">
        <v>131</v>
      </c>
      <c r="C275" s="106">
        <v>6171</v>
      </c>
      <c r="D275" s="106">
        <v>5032</v>
      </c>
      <c r="E275" s="108">
        <v>6171050000001</v>
      </c>
      <c r="F275" s="109" t="s">
        <v>127</v>
      </c>
      <c r="G275" s="96">
        <v>683</v>
      </c>
      <c r="I275" s="96">
        <v>674</v>
      </c>
      <c r="J275" s="96">
        <v>437.87200000000001</v>
      </c>
      <c r="K275" s="96">
        <v>630.76800000000003</v>
      </c>
      <c r="L275" s="96">
        <v>613.41999999999996</v>
      </c>
    </row>
    <row r="276" spans="1:12" x14ac:dyDescent="0.2">
      <c r="A276" s="106">
        <v>500</v>
      </c>
      <c r="B276" s="107" t="s">
        <v>131</v>
      </c>
      <c r="C276" s="106">
        <v>6171</v>
      </c>
      <c r="D276" s="106">
        <v>5136</v>
      </c>
      <c r="E276" s="108">
        <v>6171050000001</v>
      </c>
      <c r="F276" s="109" t="s">
        <v>55</v>
      </c>
      <c r="G276" s="96">
        <v>4</v>
      </c>
      <c r="I276" s="96">
        <v>5</v>
      </c>
      <c r="J276" s="96">
        <v>2.367</v>
      </c>
      <c r="K276" s="96">
        <v>4.8170000000000002</v>
      </c>
      <c r="L276" s="96">
        <v>1.87</v>
      </c>
    </row>
    <row r="277" spans="1:12" x14ac:dyDescent="0.2">
      <c r="A277" s="106">
        <v>500</v>
      </c>
      <c r="B277" s="107" t="s">
        <v>131</v>
      </c>
      <c r="C277" s="106">
        <v>6171</v>
      </c>
      <c r="D277" s="106">
        <v>5139</v>
      </c>
      <c r="E277" s="108">
        <v>6171050000001</v>
      </c>
      <c r="F277" s="109" t="s">
        <v>56</v>
      </c>
      <c r="G277" s="96">
        <v>2</v>
      </c>
      <c r="I277" s="96">
        <v>2</v>
      </c>
      <c r="J277" s="96">
        <v>0</v>
      </c>
      <c r="K277" s="96">
        <v>0.372</v>
      </c>
      <c r="L277" s="96">
        <v>0</v>
      </c>
    </row>
    <row r="278" spans="1:12" x14ac:dyDescent="0.2">
      <c r="A278" s="106">
        <v>500</v>
      </c>
      <c r="B278" s="107" t="s">
        <v>131</v>
      </c>
      <c r="C278" s="106">
        <v>6171</v>
      </c>
      <c r="D278" s="106">
        <v>5167</v>
      </c>
      <c r="E278" s="108">
        <v>6171050000001</v>
      </c>
      <c r="F278" s="109" t="s">
        <v>87</v>
      </c>
      <c r="G278" s="96">
        <v>150</v>
      </c>
      <c r="I278" s="96">
        <v>100</v>
      </c>
      <c r="J278" s="96">
        <v>16.71</v>
      </c>
      <c r="K278" s="96">
        <v>19.899999999999999</v>
      </c>
      <c r="L278" s="96">
        <v>97.789000000000001</v>
      </c>
    </row>
    <row r="279" spans="1:12" x14ac:dyDescent="0.2">
      <c r="A279" s="106">
        <v>500</v>
      </c>
      <c r="B279" s="107" t="s">
        <v>131</v>
      </c>
      <c r="C279" s="106">
        <v>6171</v>
      </c>
      <c r="D279" s="106">
        <v>5173</v>
      </c>
      <c r="E279" s="108">
        <v>6171050000001</v>
      </c>
      <c r="F279" s="109" t="s">
        <v>60</v>
      </c>
      <c r="G279" s="96">
        <v>60</v>
      </c>
      <c r="I279" s="96">
        <v>50</v>
      </c>
      <c r="J279" s="96">
        <v>4.4980000000000002</v>
      </c>
      <c r="K279" s="96">
        <v>18.388000000000002</v>
      </c>
      <c r="L279" s="96">
        <v>47.293999999999997</v>
      </c>
    </row>
    <row r="280" spans="1:12" x14ac:dyDescent="0.2">
      <c r="A280" s="106">
        <v>500</v>
      </c>
      <c r="B280" s="107" t="s">
        <v>131</v>
      </c>
      <c r="C280" s="106">
        <v>6171</v>
      </c>
      <c r="D280" s="106">
        <v>5175</v>
      </c>
      <c r="E280" s="108">
        <v>6171050000001</v>
      </c>
      <c r="F280" s="109" t="s">
        <v>28</v>
      </c>
      <c r="G280" s="96">
        <v>1</v>
      </c>
      <c r="I280" s="96">
        <v>1</v>
      </c>
      <c r="J280" s="96">
        <v>0</v>
      </c>
      <c r="K280" s="96">
        <v>0</v>
      </c>
      <c r="L280" s="96">
        <v>0.95699999999999996</v>
      </c>
    </row>
    <row r="281" spans="1:12" x14ac:dyDescent="0.2">
      <c r="A281" s="106">
        <v>500</v>
      </c>
      <c r="B281" s="107" t="s">
        <v>131</v>
      </c>
      <c r="C281" s="106">
        <v>6171</v>
      </c>
      <c r="D281" s="106">
        <v>5199</v>
      </c>
      <c r="E281" s="108">
        <v>6171050000001</v>
      </c>
      <c r="F281" s="109" t="s">
        <v>132</v>
      </c>
      <c r="G281" s="96">
        <v>1</v>
      </c>
      <c r="I281" s="96">
        <v>1</v>
      </c>
      <c r="J281" s="96">
        <v>0</v>
      </c>
      <c r="K281" s="96">
        <v>0</v>
      </c>
      <c r="L281" s="96">
        <v>0</v>
      </c>
    </row>
    <row r="282" spans="1:12" ht="13.5" thickBot="1" x14ac:dyDescent="0.25">
      <c r="A282" s="106"/>
      <c r="B282" s="107"/>
      <c r="C282" s="106"/>
      <c r="D282" s="106"/>
      <c r="E282" s="108"/>
      <c r="F282" s="109" t="s">
        <v>503</v>
      </c>
      <c r="G282" s="96"/>
      <c r="I282" s="96"/>
      <c r="J282" s="96"/>
      <c r="K282" s="96"/>
      <c r="L282" s="96"/>
    </row>
    <row r="283" spans="1:12" x14ac:dyDescent="0.2">
      <c r="A283" s="110"/>
      <c r="B283" s="111" t="s">
        <v>17</v>
      </c>
      <c r="C283" s="112">
        <v>6171</v>
      </c>
      <c r="D283" s="113"/>
      <c r="E283" s="114"/>
      <c r="F283" s="115"/>
      <c r="G283" s="116">
        <f>SUM(G273:G282)</f>
        <v>10364</v>
      </c>
      <c r="I283" s="116">
        <f>SUM(I273:I282)</f>
        <v>10179</v>
      </c>
      <c r="J283" s="116">
        <f>SUM(J273:J282)</f>
        <v>6650.8</v>
      </c>
      <c r="K283" s="116">
        <f>SUM(K273:K282)</f>
        <v>9488.4939999999988</v>
      </c>
      <c r="L283" s="116">
        <f>SUM(L273:L282)</f>
        <v>9348.4910000000018</v>
      </c>
    </row>
    <row r="285" spans="1:12" x14ac:dyDescent="0.2">
      <c r="A285" s="124"/>
      <c r="B285" s="125" t="s">
        <v>133</v>
      </c>
      <c r="C285" s="126"/>
      <c r="D285" s="127"/>
      <c r="E285" s="128"/>
      <c r="F285" s="129"/>
      <c r="G285" s="130">
        <f>SUM(G283)</f>
        <v>10364</v>
      </c>
      <c r="I285" s="130">
        <f>SUM(I283)</f>
        <v>10179</v>
      </c>
      <c r="J285" s="130">
        <f>SUM(J283)</f>
        <v>6650.8</v>
      </c>
      <c r="K285" s="130">
        <f>SUM(K283)</f>
        <v>9488.4939999999988</v>
      </c>
      <c r="L285" s="130">
        <f>SUM(L283)</f>
        <v>9348.4910000000018</v>
      </c>
    </row>
    <row r="287" spans="1:12" x14ac:dyDescent="0.2">
      <c r="A287" s="106">
        <v>600</v>
      </c>
      <c r="B287" s="107" t="s">
        <v>134</v>
      </c>
      <c r="C287" s="106">
        <v>6171</v>
      </c>
      <c r="D287" s="106">
        <v>5011</v>
      </c>
      <c r="E287" s="108">
        <v>6171060000001</v>
      </c>
      <c r="F287" s="109" t="s">
        <v>544</v>
      </c>
      <c r="G287" s="96">
        <v>9630</v>
      </c>
      <c r="I287" s="96">
        <v>9626</v>
      </c>
      <c r="J287" s="96">
        <v>6579.7820000000002</v>
      </c>
      <c r="K287" s="96">
        <v>9266.8850000000002</v>
      </c>
      <c r="L287" s="96">
        <v>7958.7640000000001</v>
      </c>
    </row>
    <row r="288" spans="1:12" x14ac:dyDescent="0.2">
      <c r="A288" s="106">
        <v>600</v>
      </c>
      <c r="B288" s="107" t="s">
        <v>134</v>
      </c>
      <c r="C288" s="106">
        <v>6171</v>
      </c>
      <c r="D288" s="106">
        <v>5031</v>
      </c>
      <c r="E288" s="108">
        <v>6171060000001</v>
      </c>
      <c r="F288" s="109" t="s">
        <v>135</v>
      </c>
      <c r="G288" s="96">
        <v>2389</v>
      </c>
      <c r="I288" s="96">
        <v>2387</v>
      </c>
      <c r="J288" s="96">
        <v>1625.769</v>
      </c>
      <c r="K288" s="96">
        <v>2283.6509999999998</v>
      </c>
      <c r="L288" s="96">
        <v>1979.5889999999999</v>
      </c>
    </row>
    <row r="289" spans="1:12" x14ac:dyDescent="0.2">
      <c r="A289" s="106">
        <v>600</v>
      </c>
      <c r="B289" s="107" t="s">
        <v>134</v>
      </c>
      <c r="C289" s="106">
        <v>6171</v>
      </c>
      <c r="D289" s="106">
        <v>5032</v>
      </c>
      <c r="E289" s="108">
        <v>6171060000001</v>
      </c>
      <c r="F289" s="109" t="s">
        <v>127</v>
      </c>
      <c r="G289" s="96">
        <v>867</v>
      </c>
      <c r="I289" s="96">
        <v>866</v>
      </c>
      <c r="J289" s="96">
        <v>590.00099999999998</v>
      </c>
      <c r="K289" s="96">
        <v>828.75699999999995</v>
      </c>
      <c r="L289" s="96">
        <v>715.20399999999995</v>
      </c>
    </row>
    <row r="290" spans="1:12" x14ac:dyDescent="0.2">
      <c r="A290" s="106">
        <v>600</v>
      </c>
      <c r="B290" s="107" t="s">
        <v>134</v>
      </c>
      <c r="C290" s="106">
        <v>6171</v>
      </c>
      <c r="D290" s="106">
        <v>5132</v>
      </c>
      <c r="E290" s="108">
        <v>6171060000001</v>
      </c>
      <c r="F290" s="109" t="s">
        <v>136</v>
      </c>
      <c r="G290" s="96">
        <v>20</v>
      </c>
      <c r="I290" s="96"/>
      <c r="J290" s="96"/>
      <c r="K290" s="96">
        <v>0</v>
      </c>
      <c r="L290" s="96">
        <v>0</v>
      </c>
    </row>
    <row r="291" spans="1:12" x14ac:dyDescent="0.2">
      <c r="A291" s="106">
        <v>600</v>
      </c>
      <c r="B291" s="107" t="s">
        <v>134</v>
      </c>
      <c r="C291" s="106">
        <v>6171</v>
      </c>
      <c r="D291" s="106">
        <v>5136</v>
      </c>
      <c r="E291" s="108">
        <v>6171060000001</v>
      </c>
      <c r="F291" s="109" t="s">
        <v>55</v>
      </c>
      <c r="G291" s="96">
        <v>5</v>
      </c>
      <c r="I291" s="96">
        <v>2</v>
      </c>
      <c r="J291" s="96">
        <v>1.675</v>
      </c>
      <c r="K291" s="96">
        <v>0</v>
      </c>
      <c r="L291" s="96">
        <v>0</v>
      </c>
    </row>
    <row r="292" spans="1:12" x14ac:dyDescent="0.2">
      <c r="A292" s="106">
        <v>600</v>
      </c>
      <c r="B292" s="107" t="s">
        <v>134</v>
      </c>
      <c r="C292" s="106">
        <v>6171</v>
      </c>
      <c r="D292" s="106">
        <v>5139</v>
      </c>
      <c r="E292" s="108">
        <v>6171060000001</v>
      </c>
      <c r="F292" s="109" t="s">
        <v>137</v>
      </c>
      <c r="G292" s="96">
        <v>40</v>
      </c>
      <c r="I292" s="96">
        <v>40</v>
      </c>
      <c r="J292" s="96">
        <v>23.67</v>
      </c>
      <c r="K292" s="96">
        <v>26.87</v>
      </c>
      <c r="L292" s="96">
        <v>23.59</v>
      </c>
    </row>
    <row r="293" spans="1:12" x14ac:dyDescent="0.2">
      <c r="A293" s="106">
        <v>600</v>
      </c>
      <c r="B293" s="107" t="s">
        <v>134</v>
      </c>
      <c r="C293" s="106">
        <v>6171</v>
      </c>
      <c r="D293" s="106">
        <v>5167</v>
      </c>
      <c r="E293" s="108">
        <v>6171060000001</v>
      </c>
      <c r="F293" s="109" t="s">
        <v>87</v>
      </c>
      <c r="G293" s="96">
        <v>240</v>
      </c>
      <c r="I293" s="96">
        <v>90</v>
      </c>
      <c r="J293" s="96">
        <v>14.6</v>
      </c>
      <c r="K293" s="96">
        <v>26.058</v>
      </c>
      <c r="L293" s="96">
        <v>43.92</v>
      </c>
    </row>
    <row r="294" spans="1:12" x14ac:dyDescent="0.2">
      <c r="A294" s="106">
        <v>600</v>
      </c>
      <c r="B294" s="107" t="s">
        <v>134</v>
      </c>
      <c r="C294" s="106">
        <v>6171</v>
      </c>
      <c r="D294" s="106">
        <v>5169</v>
      </c>
      <c r="E294" s="108">
        <v>6171060000001</v>
      </c>
      <c r="F294" s="109" t="s">
        <v>545</v>
      </c>
      <c r="G294" s="96">
        <v>1000</v>
      </c>
      <c r="I294" s="96"/>
      <c r="J294" s="96"/>
      <c r="K294" s="96">
        <v>16.559999999999999</v>
      </c>
      <c r="L294" s="96">
        <v>238.47</v>
      </c>
    </row>
    <row r="295" spans="1:12" x14ac:dyDescent="0.2">
      <c r="A295" s="106">
        <v>600</v>
      </c>
      <c r="B295" s="107" t="s">
        <v>134</v>
      </c>
      <c r="C295" s="106">
        <v>6171</v>
      </c>
      <c r="D295" s="106">
        <v>5173</v>
      </c>
      <c r="E295" s="108">
        <v>6171060000001</v>
      </c>
      <c r="F295" s="109" t="s">
        <v>60</v>
      </c>
      <c r="G295" s="96">
        <v>50</v>
      </c>
      <c r="I295" s="96">
        <v>40</v>
      </c>
      <c r="J295" s="96">
        <v>31.282</v>
      </c>
      <c r="K295" s="96">
        <v>39.83</v>
      </c>
      <c r="L295" s="96">
        <v>39.85</v>
      </c>
    </row>
    <row r="296" spans="1:12" x14ac:dyDescent="0.2">
      <c r="A296" s="106">
        <v>600</v>
      </c>
      <c r="B296" s="107" t="s">
        <v>134</v>
      </c>
      <c r="C296" s="106">
        <v>6171</v>
      </c>
      <c r="D296" s="106">
        <v>5901</v>
      </c>
      <c r="E296" s="108">
        <v>6171060000001</v>
      </c>
      <c r="F296" s="109" t="s">
        <v>138</v>
      </c>
      <c r="G296" s="96">
        <v>300</v>
      </c>
      <c r="I296" s="96">
        <v>300</v>
      </c>
      <c r="J296" s="96">
        <v>0</v>
      </c>
      <c r="K296" s="96">
        <v>0</v>
      </c>
      <c r="L296" s="96">
        <v>0</v>
      </c>
    </row>
    <row r="297" spans="1:12" ht="13.5" thickBot="1" x14ac:dyDescent="0.25">
      <c r="A297" s="106"/>
      <c r="B297" s="107"/>
      <c r="C297" s="106"/>
      <c r="D297" s="106"/>
      <c r="E297" s="108"/>
      <c r="F297" s="109" t="s">
        <v>503</v>
      </c>
      <c r="G297" s="96"/>
      <c r="I297" s="96"/>
      <c r="J297" s="96"/>
      <c r="K297" s="96">
        <f>9</f>
        <v>9</v>
      </c>
      <c r="L297" s="96">
        <f>37.77</f>
        <v>37.770000000000003</v>
      </c>
    </row>
    <row r="298" spans="1:12" x14ac:dyDescent="0.2">
      <c r="A298" s="110"/>
      <c r="B298" s="111" t="s">
        <v>17</v>
      </c>
      <c r="C298" s="112">
        <v>6171</v>
      </c>
      <c r="D298" s="113"/>
      <c r="E298" s="114"/>
      <c r="F298" s="115"/>
      <c r="G298" s="116">
        <f>SUM(G287:G297)</f>
        <v>14541</v>
      </c>
      <c r="I298" s="116">
        <f>SUM(I287:I297)</f>
        <v>13351</v>
      </c>
      <c r="J298" s="116">
        <f>SUM(J287:J297)</f>
        <v>8866.7789999999986</v>
      </c>
      <c r="K298" s="116">
        <f>SUM(K287:K297)</f>
        <v>12497.611000000001</v>
      </c>
      <c r="L298" s="116">
        <f>SUM(L287:L297)</f>
        <v>11037.156999999999</v>
      </c>
    </row>
    <row r="299" spans="1:12" x14ac:dyDescent="0.2">
      <c r="A299" s="106"/>
      <c r="B299" s="107"/>
      <c r="C299" s="106"/>
      <c r="D299" s="106"/>
      <c r="E299" s="108"/>
      <c r="F299" s="109"/>
      <c r="G299" s="96"/>
      <c r="I299" s="96"/>
      <c r="J299" s="96"/>
      <c r="K299" s="96"/>
      <c r="L299" s="96"/>
    </row>
    <row r="300" spans="1:12" x14ac:dyDescent="0.2">
      <c r="A300" s="106">
        <v>600</v>
      </c>
      <c r="B300" s="107" t="s">
        <v>546</v>
      </c>
      <c r="C300" s="106">
        <v>6171</v>
      </c>
      <c r="D300" s="106">
        <v>5169</v>
      </c>
      <c r="E300" s="108">
        <v>9012</v>
      </c>
      <c r="F300" s="109" t="s">
        <v>547</v>
      </c>
      <c r="G300" s="96">
        <v>0</v>
      </c>
      <c r="I300" s="96"/>
      <c r="J300" s="96"/>
      <c r="K300" s="96"/>
      <c r="L300" s="96"/>
    </row>
    <row r="301" spans="1:12" x14ac:dyDescent="0.2">
      <c r="A301" s="106">
        <v>600</v>
      </c>
      <c r="B301" s="107" t="s">
        <v>546</v>
      </c>
      <c r="C301" s="106">
        <v>6171</v>
      </c>
      <c r="D301" s="106">
        <v>5169</v>
      </c>
      <c r="E301" s="108">
        <v>9012</v>
      </c>
      <c r="F301" s="109" t="s">
        <v>548</v>
      </c>
      <c r="G301" s="96">
        <v>0</v>
      </c>
      <c r="I301" s="96"/>
      <c r="J301" s="96"/>
      <c r="K301" s="96"/>
      <c r="L301" s="96"/>
    </row>
    <row r="302" spans="1:12" ht="13.5" thickBot="1" x14ac:dyDescent="0.25">
      <c r="A302" s="106"/>
      <c r="B302" s="107"/>
      <c r="C302" s="106"/>
      <c r="D302" s="106"/>
      <c r="E302" s="108"/>
      <c r="F302" s="109" t="s">
        <v>503</v>
      </c>
      <c r="G302" s="96"/>
      <c r="I302" s="96"/>
      <c r="J302" s="96"/>
      <c r="K302" s="96"/>
      <c r="L302" s="96"/>
    </row>
    <row r="303" spans="1:12" x14ac:dyDescent="0.2">
      <c r="A303" s="110"/>
      <c r="B303" s="111" t="s">
        <v>17</v>
      </c>
      <c r="C303" s="112">
        <v>6171</v>
      </c>
      <c r="D303" s="113"/>
      <c r="E303" s="114"/>
      <c r="F303" s="115"/>
      <c r="G303" s="116">
        <f>SUM(G300:G302)</f>
        <v>0</v>
      </c>
      <c r="I303" s="116">
        <f>SUM(I300:I302)</f>
        <v>0</v>
      </c>
      <c r="J303" s="116">
        <f>SUM(J300:J302)</f>
        <v>0</v>
      </c>
      <c r="K303" s="116">
        <f>SUM(K300:K302)</f>
        <v>0</v>
      </c>
      <c r="L303" s="116">
        <f>SUM(L300:L302)</f>
        <v>0</v>
      </c>
    </row>
    <row r="305" spans="1:12" x14ac:dyDescent="0.2">
      <c r="A305" s="124"/>
      <c r="B305" s="125" t="s">
        <v>139</v>
      </c>
      <c r="C305" s="126"/>
      <c r="D305" s="127"/>
      <c r="E305" s="128"/>
      <c r="F305" s="129"/>
      <c r="G305" s="130">
        <f>SUM(G303,G298)</f>
        <v>14541</v>
      </c>
      <c r="I305" s="130">
        <f>SUM(I303,I298)</f>
        <v>13351</v>
      </c>
      <c r="J305" s="130">
        <f>SUM(J303,J298)</f>
        <v>8866.7789999999986</v>
      </c>
      <c r="K305" s="130">
        <f>SUM(K303,K298)</f>
        <v>12497.611000000001</v>
      </c>
      <c r="L305" s="130">
        <f>SUM(L303,L298)</f>
        <v>11037.156999999999</v>
      </c>
    </row>
    <row r="308" spans="1:12" x14ac:dyDescent="0.2">
      <c r="A308" s="106">
        <v>700</v>
      </c>
      <c r="B308" s="107" t="s">
        <v>140</v>
      </c>
      <c r="C308" s="106">
        <v>6171</v>
      </c>
      <c r="D308" s="106">
        <v>5011</v>
      </c>
      <c r="E308" s="108">
        <v>6171070000001</v>
      </c>
      <c r="F308" s="109" t="s">
        <v>51</v>
      </c>
      <c r="G308" s="96">
        <v>16663</v>
      </c>
      <c r="I308" s="96">
        <v>16152</v>
      </c>
      <c r="J308" s="96">
        <v>11272.161</v>
      </c>
      <c r="K308" s="96">
        <v>14696.031000000001</v>
      </c>
      <c r="L308" s="96">
        <v>14437.77</v>
      </c>
    </row>
    <row r="309" spans="1:12" x14ac:dyDescent="0.2">
      <c r="A309" s="106">
        <v>700</v>
      </c>
      <c r="B309" s="107" t="s">
        <v>140</v>
      </c>
      <c r="C309" s="106">
        <v>6171</v>
      </c>
      <c r="D309" s="106">
        <v>5021</v>
      </c>
      <c r="E309" s="108">
        <v>6171070000001</v>
      </c>
      <c r="F309" s="109" t="s">
        <v>52</v>
      </c>
      <c r="G309" s="96">
        <v>450</v>
      </c>
      <c r="I309" s="96">
        <v>100</v>
      </c>
      <c r="J309" s="96">
        <v>340.327</v>
      </c>
      <c r="K309" s="96">
        <v>173.24799999999999</v>
      </c>
      <c r="L309" s="96">
        <v>239.41200000000001</v>
      </c>
    </row>
    <row r="310" spans="1:12" x14ac:dyDescent="0.2">
      <c r="A310" s="106">
        <v>700</v>
      </c>
      <c r="B310" s="107" t="s">
        <v>140</v>
      </c>
      <c r="C310" s="106">
        <v>6171</v>
      </c>
      <c r="D310" s="106">
        <v>5031</v>
      </c>
      <c r="E310" s="108">
        <v>6171070000001</v>
      </c>
      <c r="F310" s="109" t="s">
        <v>126</v>
      </c>
      <c r="G310" s="96">
        <v>4133</v>
      </c>
      <c r="I310" s="96">
        <v>4038</v>
      </c>
      <c r="J310" s="96">
        <v>2745.154</v>
      </c>
      <c r="K310" s="96">
        <v>3560.596</v>
      </c>
      <c r="L310" s="96">
        <v>3576.2489999999998</v>
      </c>
    </row>
    <row r="311" spans="1:12" x14ac:dyDescent="0.2">
      <c r="A311" s="106">
        <v>700</v>
      </c>
      <c r="B311" s="107" t="s">
        <v>140</v>
      </c>
      <c r="C311" s="106">
        <v>6171</v>
      </c>
      <c r="D311" s="106">
        <v>5032</v>
      </c>
      <c r="E311" s="108">
        <v>6171070000001</v>
      </c>
      <c r="F311" s="109" t="s">
        <v>69</v>
      </c>
      <c r="G311" s="96">
        <v>1500</v>
      </c>
      <c r="I311" s="96">
        <v>1454</v>
      </c>
      <c r="J311" s="96">
        <v>997.56600000000003</v>
      </c>
      <c r="K311" s="96">
        <v>1292.1579999999999</v>
      </c>
      <c r="L311" s="96">
        <v>1291.845</v>
      </c>
    </row>
    <row r="312" spans="1:12" x14ac:dyDescent="0.2">
      <c r="A312" s="106">
        <v>700</v>
      </c>
      <c r="B312" s="107" t="s">
        <v>140</v>
      </c>
      <c r="C312" s="106">
        <v>6171</v>
      </c>
      <c r="D312" s="106">
        <v>5134</v>
      </c>
      <c r="E312" s="108">
        <v>6171070000001</v>
      </c>
      <c r="F312" s="109" t="s">
        <v>551</v>
      </c>
      <c r="G312" s="96">
        <v>25</v>
      </c>
      <c r="I312" s="96"/>
      <c r="J312" s="96"/>
      <c r="K312" s="96">
        <v>0</v>
      </c>
      <c r="L312" s="96">
        <v>0</v>
      </c>
    </row>
    <row r="313" spans="1:12" x14ac:dyDescent="0.2">
      <c r="A313" s="106">
        <v>700</v>
      </c>
      <c r="B313" s="107" t="s">
        <v>140</v>
      </c>
      <c r="C313" s="106">
        <v>6171</v>
      </c>
      <c r="D313" s="106">
        <v>5136</v>
      </c>
      <c r="E313" s="108">
        <v>6171070000001</v>
      </c>
      <c r="F313" s="109" t="s">
        <v>55</v>
      </c>
      <c r="G313" s="96">
        <v>4</v>
      </c>
      <c r="I313" s="96">
        <v>4</v>
      </c>
      <c r="J313" s="96">
        <v>0.96199999999999997</v>
      </c>
      <c r="K313" s="96">
        <v>3.4350000000000001</v>
      </c>
      <c r="L313" s="96">
        <v>0.379</v>
      </c>
    </row>
    <row r="314" spans="1:12" x14ac:dyDescent="0.2">
      <c r="A314" s="106">
        <v>700</v>
      </c>
      <c r="B314" s="107" t="s">
        <v>140</v>
      </c>
      <c r="C314" s="106">
        <v>6171</v>
      </c>
      <c r="D314" s="106">
        <v>5139</v>
      </c>
      <c r="E314" s="108">
        <v>6171070000001</v>
      </c>
      <c r="F314" s="109" t="s">
        <v>56</v>
      </c>
      <c r="G314" s="96">
        <v>30</v>
      </c>
      <c r="I314" s="96">
        <v>25</v>
      </c>
      <c r="J314" s="96">
        <v>2.4780000000000002</v>
      </c>
      <c r="K314" s="96">
        <v>23.45</v>
      </c>
      <c r="L314" s="96">
        <v>1.1890000000000001</v>
      </c>
    </row>
    <row r="315" spans="1:12" x14ac:dyDescent="0.2">
      <c r="A315" s="106">
        <v>700</v>
      </c>
      <c r="B315" s="107" t="s">
        <v>140</v>
      </c>
      <c r="C315" s="106">
        <v>6171</v>
      </c>
      <c r="D315" s="106">
        <v>5167</v>
      </c>
      <c r="E315" s="108">
        <v>6171070000001</v>
      </c>
      <c r="F315" s="109" t="s">
        <v>87</v>
      </c>
      <c r="G315" s="96">
        <v>454</v>
      </c>
      <c r="I315" s="96">
        <v>220</v>
      </c>
      <c r="J315" s="96">
        <v>146.92500000000001</v>
      </c>
      <c r="K315" s="96">
        <v>152.85</v>
      </c>
      <c r="L315" s="96">
        <v>198.518</v>
      </c>
    </row>
    <row r="316" spans="1:12" x14ac:dyDescent="0.2">
      <c r="A316" s="106">
        <v>700</v>
      </c>
      <c r="B316" s="107" t="s">
        <v>140</v>
      </c>
      <c r="C316" s="106">
        <v>6171</v>
      </c>
      <c r="D316" s="106">
        <v>5173</v>
      </c>
      <c r="E316" s="108">
        <v>6171070000001</v>
      </c>
      <c r="F316" s="109" t="s">
        <v>60</v>
      </c>
      <c r="G316" s="96">
        <v>210</v>
      </c>
      <c r="I316" s="96">
        <v>120</v>
      </c>
      <c r="J316" s="96">
        <v>130.68100000000001</v>
      </c>
      <c r="K316" s="96">
        <v>142.505</v>
      </c>
      <c r="L316" s="96">
        <v>98.313000000000002</v>
      </c>
    </row>
    <row r="317" spans="1:12" x14ac:dyDescent="0.2">
      <c r="A317" s="106">
        <v>700</v>
      </c>
      <c r="B317" s="107" t="s">
        <v>140</v>
      </c>
      <c r="C317" s="106">
        <v>6171</v>
      </c>
      <c r="D317" s="106">
        <v>5175</v>
      </c>
      <c r="E317" s="108">
        <v>6171070000001</v>
      </c>
      <c r="F317" s="109" t="s">
        <v>28</v>
      </c>
      <c r="G317" s="96">
        <v>10</v>
      </c>
      <c r="I317" s="96"/>
      <c r="J317" s="96"/>
      <c r="K317" s="96">
        <v>0</v>
      </c>
      <c r="L317" s="96">
        <v>3.64</v>
      </c>
    </row>
    <row r="318" spans="1:12" ht="13.5" thickBot="1" x14ac:dyDescent="0.25">
      <c r="A318" s="106"/>
      <c r="B318" s="107"/>
      <c r="C318" s="106"/>
      <c r="D318" s="106"/>
      <c r="E318" s="108"/>
      <c r="F318" s="109" t="s">
        <v>503</v>
      </c>
      <c r="G318" s="96"/>
      <c r="I318" s="96"/>
      <c r="J318" s="96"/>
      <c r="K318" s="96"/>
      <c r="L318" s="96">
        <f>6.028</f>
        <v>6.0279999999999996</v>
      </c>
    </row>
    <row r="319" spans="1:12" x14ac:dyDescent="0.2">
      <c r="A319" s="110"/>
      <c r="B319" s="111" t="s">
        <v>17</v>
      </c>
      <c r="C319" s="112">
        <v>6171</v>
      </c>
      <c r="D319" s="113"/>
      <c r="E319" s="114"/>
      <c r="F319" s="115"/>
      <c r="G319" s="116">
        <f>SUM(G308:G318)</f>
        <v>23479</v>
      </c>
      <c r="I319" s="116">
        <f>SUM(I308:I318)</f>
        <v>22113</v>
      </c>
      <c r="J319" s="116">
        <f>SUM(J308:J318)</f>
        <v>15636.253999999999</v>
      </c>
      <c r="K319" s="116">
        <f>SUM(K308:K318)</f>
        <v>20044.273000000001</v>
      </c>
      <c r="L319" s="116">
        <f>SUM(L308:L318)</f>
        <v>19853.342999999997</v>
      </c>
    </row>
    <row r="321" spans="1:12" x14ac:dyDescent="0.2">
      <c r="A321" s="124"/>
      <c r="B321" s="125" t="s">
        <v>141</v>
      </c>
      <c r="C321" s="126"/>
      <c r="D321" s="127"/>
      <c r="E321" s="128"/>
      <c r="F321" s="129"/>
      <c r="G321" s="130">
        <f>SUM(G319)</f>
        <v>23479</v>
      </c>
      <c r="I321" s="130">
        <f>SUM(I319)</f>
        <v>22113</v>
      </c>
      <c r="J321" s="130">
        <f>SUM(J319)</f>
        <v>15636.253999999999</v>
      </c>
      <c r="K321" s="130">
        <f>SUM(K319)</f>
        <v>20044.273000000001</v>
      </c>
      <c r="L321" s="130">
        <f>SUM(L319)</f>
        <v>19853.342999999997</v>
      </c>
    </row>
    <row r="324" spans="1:12" x14ac:dyDescent="0.2">
      <c r="A324" s="106">
        <v>900</v>
      </c>
      <c r="B324" s="107" t="s">
        <v>147</v>
      </c>
      <c r="C324" s="106">
        <v>3111</v>
      </c>
      <c r="D324" s="106">
        <v>5331</v>
      </c>
      <c r="E324" s="108">
        <v>3111300000001</v>
      </c>
      <c r="F324" s="109" t="s">
        <v>147</v>
      </c>
      <c r="G324" s="96">
        <f>997+150</f>
        <v>1147</v>
      </c>
      <c r="I324" s="96">
        <f>1810.9-I325</f>
        <v>996.99700000000007</v>
      </c>
      <c r="J324" s="96">
        <f>1561.903-J325</f>
        <v>748</v>
      </c>
      <c r="K324" s="96">
        <f>1674.202-K325</f>
        <v>997</v>
      </c>
      <c r="L324" s="96">
        <f>1526.924-L325</f>
        <v>997</v>
      </c>
    </row>
    <row r="325" spans="1:12" x14ac:dyDescent="0.2">
      <c r="A325" s="106">
        <v>900</v>
      </c>
      <c r="B325" s="107" t="s">
        <v>147</v>
      </c>
      <c r="C325" s="106">
        <v>3111</v>
      </c>
      <c r="D325" s="106">
        <v>5331</v>
      </c>
      <c r="E325" s="108">
        <v>3111300000003</v>
      </c>
      <c r="F325" s="109" t="s">
        <v>148</v>
      </c>
      <c r="G325" s="96">
        <v>656.36</v>
      </c>
      <c r="I325" s="96">
        <v>813.90300000000002</v>
      </c>
      <c r="J325" s="96">
        <v>813.90300000000002</v>
      </c>
      <c r="K325" s="96">
        <v>677.202</v>
      </c>
      <c r="L325" s="96">
        <v>529.92399999999998</v>
      </c>
    </row>
    <row r="326" spans="1:12" x14ac:dyDescent="0.2">
      <c r="A326" s="106">
        <v>900</v>
      </c>
      <c r="B326" s="107" t="s">
        <v>149</v>
      </c>
      <c r="C326" s="106">
        <v>3111</v>
      </c>
      <c r="D326" s="106">
        <v>5331</v>
      </c>
      <c r="E326" s="108">
        <v>3111301000001</v>
      </c>
      <c r="F326" s="109" t="s">
        <v>149</v>
      </c>
      <c r="G326" s="96">
        <v>1037.4000000000001</v>
      </c>
      <c r="I326" s="96">
        <f>1034.03-I327</f>
        <v>500</v>
      </c>
      <c r="J326" s="96">
        <f>883.307-J327</f>
        <v>377</v>
      </c>
      <c r="K326" s="96">
        <f>1034.032-K327</f>
        <v>509.22399999999993</v>
      </c>
      <c r="L326" s="96">
        <f>1479.416-L327</f>
        <v>949.99999999999989</v>
      </c>
    </row>
    <row r="327" spans="1:12" x14ac:dyDescent="0.2">
      <c r="A327" s="106">
        <v>900</v>
      </c>
      <c r="B327" s="107" t="s">
        <v>149</v>
      </c>
      <c r="C327" s="106">
        <v>3111</v>
      </c>
      <c r="D327" s="106">
        <v>5331</v>
      </c>
      <c r="E327" s="108">
        <v>3111301000003</v>
      </c>
      <c r="F327" s="109" t="s">
        <v>150</v>
      </c>
      <c r="G327" s="96">
        <v>515.21</v>
      </c>
      <c r="I327" s="96">
        <v>534.03</v>
      </c>
      <c r="J327" s="96">
        <v>506.30700000000002</v>
      </c>
      <c r="K327" s="96">
        <v>524.80799999999999</v>
      </c>
      <c r="L327" s="96">
        <v>529.41600000000005</v>
      </c>
    </row>
    <row r="328" spans="1:12" x14ac:dyDescent="0.2">
      <c r="A328" s="106">
        <v>900</v>
      </c>
      <c r="B328" s="107" t="s">
        <v>151</v>
      </c>
      <c r="C328" s="106">
        <v>3111</v>
      </c>
      <c r="D328" s="106">
        <v>5331</v>
      </c>
      <c r="E328" s="108">
        <v>3111302000001</v>
      </c>
      <c r="F328" s="109" t="s">
        <v>151</v>
      </c>
      <c r="G328" s="96">
        <f>815+45</f>
        <v>860</v>
      </c>
      <c r="I328" s="96">
        <f>1242.42-SUM(I329:I330)</f>
        <v>755</v>
      </c>
      <c r="J328" s="96">
        <f>603.42-SUM(J329:J330)</f>
        <v>566</v>
      </c>
      <c r="K328" s="96">
        <f>929.51-K329-K330</f>
        <v>644</v>
      </c>
      <c r="L328" s="96">
        <f>1143.018-SUM(L329:L330)</f>
        <v>644</v>
      </c>
    </row>
    <row r="329" spans="1:12" x14ac:dyDescent="0.2">
      <c r="A329" s="106">
        <v>900</v>
      </c>
      <c r="B329" s="107" t="s">
        <v>151</v>
      </c>
      <c r="C329" s="106">
        <v>3111</v>
      </c>
      <c r="D329" s="106">
        <v>5331</v>
      </c>
      <c r="E329" s="108">
        <v>3111302000003</v>
      </c>
      <c r="F329" s="109" t="s">
        <v>152</v>
      </c>
      <c r="G329" s="96">
        <v>35.32</v>
      </c>
      <c r="I329" s="96">
        <v>37.42</v>
      </c>
      <c r="J329" s="96">
        <v>37.42</v>
      </c>
      <c r="K329" s="96">
        <v>39.51</v>
      </c>
      <c r="L329" s="96">
        <v>49.018000000000001</v>
      </c>
    </row>
    <row r="330" spans="1:12" x14ac:dyDescent="0.2">
      <c r="A330" s="106">
        <v>900</v>
      </c>
      <c r="B330" s="107" t="s">
        <v>151</v>
      </c>
      <c r="C330" s="106">
        <v>3111</v>
      </c>
      <c r="D330" s="106">
        <v>5331</v>
      </c>
      <c r="E330" s="108">
        <v>3111302000001</v>
      </c>
      <c r="F330" s="109" t="s">
        <v>153</v>
      </c>
      <c r="G330" s="96">
        <v>0</v>
      </c>
      <c r="I330" s="96">
        <v>450</v>
      </c>
      <c r="J330" s="96">
        <v>0</v>
      </c>
      <c r="K330" s="96">
        <v>246</v>
      </c>
      <c r="L330" s="96">
        <v>450</v>
      </c>
    </row>
    <row r="331" spans="1:12" x14ac:dyDescent="0.2">
      <c r="A331" s="106">
        <v>900</v>
      </c>
      <c r="B331" s="107" t="s">
        <v>154</v>
      </c>
      <c r="C331" s="106">
        <v>3111</v>
      </c>
      <c r="D331" s="106">
        <v>5331</v>
      </c>
      <c r="E331" s="108">
        <v>3111303000001</v>
      </c>
      <c r="F331" s="109" t="s">
        <v>154</v>
      </c>
      <c r="G331" s="96">
        <f>1060+350</f>
        <v>1410</v>
      </c>
      <c r="I331" s="96">
        <f>2359.92-I332</f>
        <v>1060</v>
      </c>
      <c r="J331" s="96">
        <f>2113.338-J332</f>
        <v>796.00000000000023</v>
      </c>
      <c r="K331" s="96">
        <f>2359.924-K332</f>
        <v>1060.0029999999999</v>
      </c>
      <c r="L331" s="96">
        <f>886-L332</f>
        <v>886</v>
      </c>
    </row>
    <row r="332" spans="1:12" x14ac:dyDescent="0.2">
      <c r="A332" s="106">
        <v>900</v>
      </c>
      <c r="B332" s="107" t="s">
        <v>154</v>
      </c>
      <c r="C332" s="106">
        <v>3111</v>
      </c>
      <c r="D332" s="106">
        <v>5331</v>
      </c>
      <c r="E332" s="108">
        <v>3111303000003</v>
      </c>
      <c r="F332" s="109" t="s">
        <v>155</v>
      </c>
      <c r="G332" s="96">
        <v>1300</v>
      </c>
      <c r="I332" s="96">
        <v>1299.92</v>
      </c>
      <c r="J332" s="96">
        <v>1317.338</v>
      </c>
      <c r="K332" s="96">
        <v>1299.921</v>
      </c>
      <c r="L332" s="96">
        <v>0</v>
      </c>
    </row>
    <row r="333" spans="1:12" ht="13.5" thickBot="1" x14ac:dyDescent="0.25">
      <c r="A333" s="106"/>
      <c r="B333" s="107"/>
      <c r="C333" s="106"/>
      <c r="D333" s="106"/>
      <c r="E333" s="108"/>
      <c r="F333" s="109" t="s">
        <v>503</v>
      </c>
      <c r="G333" s="96"/>
      <c r="I333" s="96"/>
      <c r="J333" s="96"/>
      <c r="K333" s="96"/>
      <c r="L333" s="96">
        <f>1220.31-SUM(L331:L332)</f>
        <v>334.30999999999995</v>
      </c>
    </row>
    <row r="334" spans="1:12" x14ac:dyDescent="0.2">
      <c r="A334" s="110"/>
      <c r="B334" s="111" t="s">
        <v>17</v>
      </c>
      <c r="C334" s="112">
        <v>3111</v>
      </c>
      <c r="D334" s="113"/>
      <c r="E334" s="114"/>
      <c r="F334" s="115"/>
      <c r="G334" s="116">
        <f>SUM(G324:G333)</f>
        <v>6961.29</v>
      </c>
      <c r="I334" s="116">
        <f>SUM(I324:I333)</f>
        <v>6447.27</v>
      </c>
      <c r="J334" s="116">
        <f>SUM(J324:J333)</f>
        <v>5161.9679999999998</v>
      </c>
      <c r="K334" s="116">
        <f>SUM(K324:K333)</f>
        <v>5997.6680000000006</v>
      </c>
      <c r="L334" s="116">
        <f>SUM(L324:L333)</f>
        <v>5369.6679999999997</v>
      </c>
    </row>
    <row r="336" spans="1:12" x14ac:dyDescent="0.2">
      <c r="A336" s="106">
        <v>900</v>
      </c>
      <c r="B336" s="107" t="s">
        <v>156</v>
      </c>
      <c r="C336" s="106">
        <v>3113</v>
      </c>
      <c r="D336" s="106">
        <v>5331</v>
      </c>
      <c r="E336" s="108">
        <v>3113000000001</v>
      </c>
      <c r="F336" s="109" t="s">
        <v>156</v>
      </c>
      <c r="G336" s="96">
        <f>5558+450</f>
        <v>6008</v>
      </c>
      <c r="I336" s="96">
        <f>10338.26-I337</f>
        <v>5558</v>
      </c>
      <c r="J336" s="96">
        <f>8907.557-J337</f>
        <v>4169.0000000000009</v>
      </c>
      <c r="K336" s="96">
        <f>10278.259-K337</f>
        <v>5558</v>
      </c>
      <c r="L336" s="96">
        <f>9143.654-L337</f>
        <v>5558</v>
      </c>
    </row>
    <row r="337" spans="1:12" x14ac:dyDescent="0.2">
      <c r="A337" s="106">
        <v>900</v>
      </c>
      <c r="B337" s="107" t="s">
        <v>156</v>
      </c>
      <c r="C337" s="106">
        <v>3113</v>
      </c>
      <c r="D337" s="106">
        <v>5331</v>
      </c>
      <c r="E337" s="108">
        <v>3113000000003</v>
      </c>
      <c r="F337" s="109" t="s">
        <v>157</v>
      </c>
      <c r="G337" s="96">
        <v>4798.5600000000004</v>
      </c>
      <c r="I337" s="96">
        <v>4780.26</v>
      </c>
      <c r="J337" s="96">
        <v>4738.5569999999998</v>
      </c>
      <c r="K337" s="96">
        <v>4720.259</v>
      </c>
      <c r="L337" s="96">
        <v>3585.654</v>
      </c>
    </row>
    <row r="338" spans="1:12" ht="13.5" thickBot="1" x14ac:dyDescent="0.25">
      <c r="A338" s="106"/>
      <c r="B338" s="107"/>
      <c r="C338" s="106"/>
      <c r="D338" s="106"/>
      <c r="E338" s="108"/>
      <c r="F338" s="109" t="s">
        <v>503</v>
      </c>
      <c r="G338" s="96"/>
      <c r="I338" s="96"/>
      <c r="J338" s="96"/>
      <c r="K338" s="96"/>
      <c r="L338" s="96"/>
    </row>
    <row r="339" spans="1:12" x14ac:dyDescent="0.2">
      <c r="A339" s="110"/>
      <c r="B339" s="111" t="s">
        <v>17</v>
      </c>
      <c r="C339" s="112">
        <v>3113</v>
      </c>
      <c r="D339" s="113"/>
      <c r="E339" s="114"/>
      <c r="F339" s="115"/>
      <c r="G339" s="116">
        <f>SUM(G336:G338)</f>
        <v>10806.560000000001</v>
      </c>
      <c r="I339" s="116">
        <f>SUM(I336:I338)</f>
        <v>10338.26</v>
      </c>
      <c r="J339" s="116">
        <f>SUM(J336:J338)</f>
        <v>8907.5570000000007</v>
      </c>
      <c r="K339" s="116">
        <f>SUM(K336:K338)</f>
        <v>10278.259</v>
      </c>
      <c r="L339" s="116">
        <f>SUM(L336:L338)</f>
        <v>9143.6540000000005</v>
      </c>
    </row>
    <row r="341" spans="1:12" x14ac:dyDescent="0.2">
      <c r="A341" s="106">
        <v>900</v>
      </c>
      <c r="B341" s="107" t="s">
        <v>158</v>
      </c>
      <c r="C341" s="106">
        <v>3231</v>
      </c>
      <c r="D341" s="106">
        <v>5331</v>
      </c>
      <c r="E341" s="108">
        <v>3231000000001</v>
      </c>
      <c r="F341" s="109" t="s">
        <v>158</v>
      </c>
      <c r="G341" s="96">
        <f>180+40</f>
        <v>220</v>
      </c>
      <c r="I341" s="96">
        <f>492.939-I342</f>
        <v>180</v>
      </c>
      <c r="J341" s="96">
        <f>497.576-J342</f>
        <v>180</v>
      </c>
      <c r="K341" s="96">
        <f>492.939-K342</f>
        <v>180</v>
      </c>
      <c r="L341" s="96">
        <f>489.52-L342</f>
        <v>180</v>
      </c>
    </row>
    <row r="342" spans="1:12" x14ac:dyDescent="0.2">
      <c r="A342" s="106">
        <v>900</v>
      </c>
      <c r="B342" s="107" t="s">
        <v>158</v>
      </c>
      <c r="C342" s="106">
        <v>3231</v>
      </c>
      <c r="D342" s="106">
        <v>5331</v>
      </c>
      <c r="E342" s="108">
        <v>3231000000003</v>
      </c>
      <c r="F342" s="109" t="s">
        <v>159</v>
      </c>
      <c r="G342" s="96">
        <v>440.88</v>
      </c>
      <c r="I342" s="96">
        <v>312.93900000000002</v>
      </c>
      <c r="J342" s="96">
        <v>317.57600000000002</v>
      </c>
      <c r="K342" s="96">
        <v>312.93900000000002</v>
      </c>
      <c r="L342" s="96">
        <v>309.52</v>
      </c>
    </row>
    <row r="343" spans="1:12" ht="13.5" thickBot="1" x14ac:dyDescent="0.25">
      <c r="A343" s="106"/>
      <c r="B343" s="107"/>
      <c r="C343" s="106"/>
      <c r="D343" s="106"/>
      <c r="E343" s="108"/>
      <c r="F343" s="109" t="s">
        <v>503</v>
      </c>
      <c r="G343" s="96"/>
      <c r="I343" s="96"/>
      <c r="J343" s="96"/>
      <c r="K343" s="96"/>
      <c r="L343" s="96"/>
    </row>
    <row r="344" spans="1:12" x14ac:dyDescent="0.2">
      <c r="A344" s="110"/>
      <c r="B344" s="111" t="s">
        <v>17</v>
      </c>
      <c r="C344" s="112">
        <v>3231</v>
      </c>
      <c r="D344" s="113"/>
      <c r="E344" s="114"/>
      <c r="F344" s="115"/>
      <c r="G344" s="116">
        <f>SUM(G341:G343)</f>
        <v>660.88</v>
      </c>
      <c r="I344" s="116">
        <f>SUM(I341:I343)</f>
        <v>492.93900000000002</v>
      </c>
      <c r="J344" s="116">
        <f>SUM(J341:J343)</f>
        <v>497.57600000000002</v>
      </c>
      <c r="K344" s="116">
        <f>SUM(K341:K343)</f>
        <v>492.93900000000002</v>
      </c>
      <c r="L344" s="116">
        <f>SUM(L341:L343)</f>
        <v>489.52</v>
      </c>
    </row>
    <row r="346" spans="1:12" x14ac:dyDescent="0.2">
      <c r="A346" s="106">
        <v>900</v>
      </c>
      <c r="B346" s="107" t="s">
        <v>160</v>
      </c>
      <c r="C346" s="106">
        <v>6112</v>
      </c>
      <c r="D346" s="106">
        <v>5021</v>
      </c>
      <c r="E346" s="108">
        <v>6112000000001</v>
      </c>
      <c r="F346" s="109" t="s">
        <v>161</v>
      </c>
      <c r="G346" s="96">
        <v>200</v>
      </c>
      <c r="I346" s="96">
        <v>200</v>
      </c>
      <c r="J346" s="96">
        <v>80.998999999999995</v>
      </c>
      <c r="K346" s="96">
        <v>103.777</v>
      </c>
      <c r="L346" s="96">
        <v>191.78800000000001</v>
      </c>
    </row>
    <row r="347" spans="1:12" x14ac:dyDescent="0.2">
      <c r="A347" s="106">
        <v>900</v>
      </c>
      <c r="B347" s="107" t="s">
        <v>160</v>
      </c>
      <c r="C347" s="106">
        <v>6112</v>
      </c>
      <c r="D347" s="106">
        <v>5023</v>
      </c>
      <c r="E347" s="108">
        <v>6112000000001</v>
      </c>
      <c r="F347" s="109" t="s">
        <v>162</v>
      </c>
      <c r="G347" s="96">
        <v>2000</v>
      </c>
      <c r="I347" s="96">
        <v>1984</v>
      </c>
      <c r="J347" s="96">
        <v>1353.412</v>
      </c>
      <c r="K347" s="96">
        <v>1728.855</v>
      </c>
      <c r="L347" s="96">
        <v>1654.018</v>
      </c>
    </row>
    <row r="348" spans="1:12" x14ac:dyDescent="0.2">
      <c r="A348" s="106">
        <v>900</v>
      </c>
      <c r="B348" s="107" t="s">
        <v>160</v>
      </c>
      <c r="C348" s="106">
        <v>6112</v>
      </c>
      <c r="D348" s="106">
        <v>5031</v>
      </c>
      <c r="E348" s="108">
        <v>6112000000001</v>
      </c>
      <c r="F348" s="109" t="s">
        <v>99</v>
      </c>
      <c r="G348" s="96">
        <v>220</v>
      </c>
      <c r="I348" s="96">
        <v>220</v>
      </c>
      <c r="J348" s="96">
        <v>161.56800000000001</v>
      </c>
      <c r="K348" s="96">
        <v>213.84100000000001</v>
      </c>
      <c r="L348" s="96">
        <v>195.81200000000001</v>
      </c>
    </row>
    <row r="349" spans="1:12" x14ac:dyDescent="0.2">
      <c r="A349" s="106">
        <v>900</v>
      </c>
      <c r="B349" s="107" t="s">
        <v>160</v>
      </c>
      <c r="C349" s="106">
        <v>6112</v>
      </c>
      <c r="D349" s="106">
        <v>5032</v>
      </c>
      <c r="E349" s="108">
        <v>6112000000001</v>
      </c>
      <c r="F349" s="109" t="s">
        <v>54</v>
      </c>
      <c r="G349" s="96">
        <v>180</v>
      </c>
      <c r="I349" s="96">
        <v>180</v>
      </c>
      <c r="J349" s="96">
        <v>128.554</v>
      </c>
      <c r="K349" s="96">
        <v>163.77000000000001</v>
      </c>
      <c r="L349" s="96">
        <v>147.99199999999999</v>
      </c>
    </row>
    <row r="350" spans="1:12" x14ac:dyDescent="0.2">
      <c r="A350" s="106">
        <v>900</v>
      </c>
      <c r="B350" s="107" t="s">
        <v>160</v>
      </c>
      <c r="C350" s="106">
        <v>6112</v>
      </c>
      <c r="D350" s="106">
        <v>5136</v>
      </c>
      <c r="E350" s="108">
        <v>6112000000001</v>
      </c>
      <c r="F350" s="109" t="s">
        <v>55</v>
      </c>
      <c r="G350" s="96">
        <v>1</v>
      </c>
      <c r="I350" s="96">
        <v>1</v>
      </c>
      <c r="J350" s="96">
        <v>0</v>
      </c>
      <c r="K350" s="96">
        <v>0</v>
      </c>
      <c r="L350" s="96">
        <v>1.1399999999999999</v>
      </c>
    </row>
    <row r="351" spans="1:12" x14ac:dyDescent="0.2">
      <c r="A351" s="106">
        <v>900</v>
      </c>
      <c r="B351" s="107" t="s">
        <v>160</v>
      </c>
      <c r="C351" s="106">
        <v>6112</v>
      </c>
      <c r="D351" s="106">
        <v>5139</v>
      </c>
      <c r="E351" s="108">
        <v>6112000000001</v>
      </c>
      <c r="F351" s="109" t="s">
        <v>56</v>
      </c>
      <c r="G351" s="96">
        <v>5</v>
      </c>
      <c r="I351" s="96">
        <v>5</v>
      </c>
      <c r="J351" s="96">
        <v>2.2240000000000002</v>
      </c>
      <c r="K351" s="96">
        <v>13.259</v>
      </c>
      <c r="L351" s="96">
        <v>56.951999999999998</v>
      </c>
    </row>
    <row r="352" spans="1:12" x14ac:dyDescent="0.2">
      <c r="A352" s="106">
        <v>900</v>
      </c>
      <c r="B352" s="107" t="s">
        <v>160</v>
      </c>
      <c r="C352" s="106">
        <v>6112</v>
      </c>
      <c r="D352" s="106">
        <v>5139</v>
      </c>
      <c r="E352" s="108">
        <v>6112000000001</v>
      </c>
      <c r="F352" s="109" t="s">
        <v>163</v>
      </c>
      <c r="G352" s="96">
        <v>45</v>
      </c>
      <c r="I352" s="96">
        <v>45</v>
      </c>
      <c r="J352" s="96"/>
      <c r="K352" s="96">
        <v>0</v>
      </c>
      <c r="L352" s="96">
        <v>0</v>
      </c>
    </row>
    <row r="353" spans="1:12" x14ac:dyDescent="0.2">
      <c r="A353" s="106">
        <v>900</v>
      </c>
      <c r="B353" s="107" t="s">
        <v>160</v>
      </c>
      <c r="C353" s="106">
        <v>6112</v>
      </c>
      <c r="D353" s="106">
        <v>5162</v>
      </c>
      <c r="E353" s="108">
        <v>6112000000001</v>
      </c>
      <c r="F353" s="109" t="s">
        <v>106</v>
      </c>
      <c r="G353" s="96">
        <v>15</v>
      </c>
      <c r="I353" s="96">
        <v>15</v>
      </c>
      <c r="J353" s="96">
        <v>5.0529999999999999</v>
      </c>
      <c r="K353" s="96">
        <v>7.9</v>
      </c>
      <c r="L353" s="96">
        <v>12.151999999999999</v>
      </c>
    </row>
    <row r="354" spans="1:12" x14ac:dyDescent="0.2">
      <c r="A354" s="106">
        <v>900</v>
      </c>
      <c r="B354" s="107" t="s">
        <v>160</v>
      </c>
      <c r="C354" s="106">
        <v>6112</v>
      </c>
      <c r="D354" s="106">
        <v>5175</v>
      </c>
      <c r="E354" s="108">
        <v>6112000000001</v>
      </c>
      <c r="F354" s="109" t="s">
        <v>28</v>
      </c>
      <c r="G354" s="96">
        <v>40</v>
      </c>
      <c r="I354" s="96">
        <v>40</v>
      </c>
      <c r="J354" s="96">
        <v>4.7869999999999999</v>
      </c>
      <c r="K354" s="96">
        <v>9.6140000000000008</v>
      </c>
      <c r="L354" s="96">
        <v>54.267000000000003</v>
      </c>
    </row>
    <row r="355" spans="1:12" x14ac:dyDescent="0.2">
      <c r="A355" s="106">
        <v>900</v>
      </c>
      <c r="B355" s="107" t="s">
        <v>160</v>
      </c>
      <c r="C355" s="106">
        <v>6112</v>
      </c>
      <c r="D355" s="106">
        <v>5176</v>
      </c>
      <c r="E355" s="108">
        <v>6112000000001</v>
      </c>
      <c r="F355" s="109" t="s">
        <v>61</v>
      </c>
      <c r="G355" s="96">
        <v>0</v>
      </c>
      <c r="I355" s="96"/>
      <c r="J355" s="96"/>
      <c r="K355" s="96">
        <v>0</v>
      </c>
      <c r="L355" s="96">
        <v>0</v>
      </c>
    </row>
    <row r="356" spans="1:12" x14ac:dyDescent="0.2">
      <c r="A356" s="106">
        <v>900</v>
      </c>
      <c r="B356" s="107" t="s">
        <v>160</v>
      </c>
      <c r="C356" s="106">
        <v>6112</v>
      </c>
      <c r="D356" s="106">
        <v>5179</v>
      </c>
      <c r="E356" s="108">
        <v>6112000000001</v>
      </c>
      <c r="F356" s="109" t="s">
        <v>552</v>
      </c>
      <c r="G356" s="96">
        <v>57</v>
      </c>
      <c r="I356" s="96">
        <f>11</f>
        <v>11</v>
      </c>
      <c r="J356" s="96">
        <f>22.135+44.648</f>
        <v>66.783000000000001</v>
      </c>
      <c r="K356" s="96">
        <v>43.78</v>
      </c>
      <c r="L356" s="96">
        <f>10.803+42.725</f>
        <v>53.528000000000006</v>
      </c>
    </row>
    <row r="357" spans="1:12" x14ac:dyDescent="0.2">
      <c r="A357" s="106">
        <v>900</v>
      </c>
      <c r="B357" s="107" t="s">
        <v>160</v>
      </c>
      <c r="C357" s="106">
        <v>6112</v>
      </c>
      <c r="D357" s="106">
        <v>5194</v>
      </c>
      <c r="E357" s="108">
        <v>6112000000001</v>
      </c>
      <c r="F357" s="109" t="s">
        <v>164</v>
      </c>
      <c r="G357" s="96">
        <v>15</v>
      </c>
      <c r="I357" s="96">
        <v>15</v>
      </c>
      <c r="J357" s="96">
        <v>2</v>
      </c>
      <c r="K357" s="96">
        <v>1.9990000000000001</v>
      </c>
      <c r="L357" s="96">
        <v>24.997</v>
      </c>
    </row>
    <row r="358" spans="1:12" x14ac:dyDescent="0.2">
      <c r="A358" s="106">
        <v>900</v>
      </c>
      <c r="B358" s="107" t="s">
        <v>160</v>
      </c>
      <c r="C358" s="106">
        <v>6112</v>
      </c>
      <c r="D358" s="106">
        <v>5329</v>
      </c>
      <c r="E358" s="108">
        <v>6112000000001</v>
      </c>
      <c r="F358" s="109" t="s">
        <v>655</v>
      </c>
      <c r="G358" s="96">
        <v>75</v>
      </c>
      <c r="I358" s="96"/>
      <c r="J358" s="96"/>
      <c r="K358" s="96"/>
      <c r="L358" s="96"/>
    </row>
    <row r="359" spans="1:12" x14ac:dyDescent="0.2">
      <c r="A359" s="106">
        <v>900</v>
      </c>
      <c r="B359" s="107" t="s">
        <v>160</v>
      </c>
      <c r="C359" s="106">
        <v>6112</v>
      </c>
      <c r="D359" s="106">
        <v>5221</v>
      </c>
      <c r="E359" s="108">
        <v>6112000000001</v>
      </c>
      <c r="F359" s="109" t="s">
        <v>654</v>
      </c>
      <c r="G359" s="96">
        <v>75</v>
      </c>
      <c r="I359" s="96"/>
      <c r="J359" s="96"/>
      <c r="K359" s="96"/>
      <c r="L359" s="96"/>
    </row>
    <row r="360" spans="1:12" x14ac:dyDescent="0.2">
      <c r="A360" s="106">
        <v>900</v>
      </c>
      <c r="B360" s="107" t="s">
        <v>160</v>
      </c>
      <c r="C360" s="106">
        <v>6112</v>
      </c>
      <c r="D360" s="106">
        <v>5329</v>
      </c>
      <c r="E360" s="108">
        <v>6112000000001</v>
      </c>
      <c r="F360" s="109" t="s">
        <v>553</v>
      </c>
      <c r="G360" s="96">
        <v>115</v>
      </c>
      <c r="I360" s="96"/>
      <c r="J360" s="96">
        <v>114.208</v>
      </c>
      <c r="K360" s="96">
        <v>117.42400000000001</v>
      </c>
      <c r="L360" s="96">
        <v>115.232</v>
      </c>
    </row>
    <row r="361" spans="1:12" x14ac:dyDescent="0.2">
      <c r="A361" s="106">
        <v>900</v>
      </c>
      <c r="B361" s="107" t="s">
        <v>160</v>
      </c>
      <c r="C361" s="106">
        <v>6112</v>
      </c>
      <c r="D361" s="106">
        <v>5492</v>
      </c>
      <c r="E361" s="108">
        <v>6112000000001</v>
      </c>
      <c r="F361" s="109" t="s">
        <v>165</v>
      </c>
      <c r="G361" s="96">
        <v>50</v>
      </c>
      <c r="I361" s="96">
        <v>50</v>
      </c>
      <c r="J361" s="96">
        <v>0</v>
      </c>
      <c r="K361" s="96">
        <v>0</v>
      </c>
      <c r="L361" s="96">
        <v>0</v>
      </c>
    </row>
    <row r="362" spans="1:12" ht="13.5" thickBot="1" x14ac:dyDescent="0.25">
      <c r="A362" s="106"/>
      <c r="B362" s="107"/>
      <c r="C362" s="106"/>
      <c r="D362" s="106"/>
      <c r="E362" s="108"/>
      <c r="F362" s="109" t="s">
        <v>503</v>
      </c>
      <c r="G362" s="96"/>
      <c r="I362" s="96"/>
      <c r="J362" s="96">
        <f>31.35+100</f>
        <v>131.35</v>
      </c>
      <c r="K362" s="96">
        <f>70.002</f>
        <v>70.001999999999995</v>
      </c>
      <c r="L362" s="96">
        <f>4.52+7.745+0.849+0.375+0.904+1+7.401</f>
        <v>22.794</v>
      </c>
    </row>
    <row r="363" spans="1:12" x14ac:dyDescent="0.2">
      <c r="A363" s="110"/>
      <c r="B363" s="111" t="s">
        <v>17</v>
      </c>
      <c r="C363" s="112">
        <v>6112</v>
      </c>
      <c r="D363" s="113"/>
      <c r="E363" s="114"/>
      <c r="F363" s="115"/>
      <c r="G363" s="116">
        <f>SUM(G346:G362)</f>
        <v>3093</v>
      </c>
      <c r="I363" s="116">
        <f>SUM(I346:I362)</f>
        <v>2766</v>
      </c>
      <c r="J363" s="116">
        <f>SUM(J346:J362)</f>
        <v>2050.9380000000001</v>
      </c>
      <c r="K363" s="116">
        <f>SUM(K346:K362)</f>
        <v>2474.221</v>
      </c>
      <c r="L363" s="116">
        <f>SUM(L346:L362)</f>
        <v>2530.6719999999996</v>
      </c>
    </row>
    <row r="365" spans="1:12" x14ac:dyDescent="0.2">
      <c r="A365" s="106">
        <v>900</v>
      </c>
      <c r="B365" s="107" t="s">
        <v>166</v>
      </c>
      <c r="C365" s="106">
        <v>6171</v>
      </c>
      <c r="D365" s="106">
        <v>5011</v>
      </c>
      <c r="E365" s="108">
        <v>6171090000001</v>
      </c>
      <c r="F365" s="109" t="s">
        <v>51</v>
      </c>
      <c r="G365" s="96">
        <f>6033+380</f>
        <v>6413</v>
      </c>
      <c r="I365" s="96">
        <v>6220</v>
      </c>
      <c r="J365" s="96">
        <v>4453.5169999999998</v>
      </c>
      <c r="K365" s="96">
        <v>5763.107</v>
      </c>
      <c r="L365" s="96">
        <v>5465.1779999999999</v>
      </c>
    </row>
    <row r="366" spans="1:12" x14ac:dyDescent="0.2">
      <c r="A366" s="106">
        <v>900</v>
      </c>
      <c r="B366" s="107" t="s">
        <v>166</v>
      </c>
      <c r="C366" s="106">
        <v>6171</v>
      </c>
      <c r="D366" s="106">
        <v>5021</v>
      </c>
      <c r="E366" s="108">
        <v>6171090000001</v>
      </c>
      <c r="F366" s="109" t="s">
        <v>52</v>
      </c>
      <c r="G366" s="96">
        <v>20</v>
      </c>
      <c r="I366" s="96">
        <v>20</v>
      </c>
      <c r="J366" s="96">
        <v>0</v>
      </c>
      <c r="K366" s="96">
        <v>92.841999999999999</v>
      </c>
      <c r="L366" s="96">
        <v>296.01499999999999</v>
      </c>
    </row>
    <row r="367" spans="1:12" x14ac:dyDescent="0.2">
      <c r="A367" s="106">
        <v>900</v>
      </c>
      <c r="B367" s="107" t="s">
        <v>166</v>
      </c>
      <c r="C367" s="106">
        <v>6171</v>
      </c>
      <c r="D367" s="106">
        <v>5031</v>
      </c>
      <c r="E367" s="108">
        <v>6171090000001</v>
      </c>
      <c r="F367" s="109" t="s">
        <v>126</v>
      </c>
      <c r="G367" s="96">
        <v>1592</v>
      </c>
      <c r="I367" s="96">
        <v>1555</v>
      </c>
      <c r="J367" s="96">
        <v>1101.587</v>
      </c>
      <c r="K367" s="96">
        <v>1402.3219999999999</v>
      </c>
      <c r="L367" s="96">
        <v>1411.127</v>
      </c>
    </row>
    <row r="368" spans="1:12" x14ac:dyDescent="0.2">
      <c r="A368" s="106">
        <v>900</v>
      </c>
      <c r="B368" s="107" t="s">
        <v>166</v>
      </c>
      <c r="C368" s="106">
        <v>6171</v>
      </c>
      <c r="D368" s="106">
        <v>5032</v>
      </c>
      <c r="E368" s="108">
        <v>6171090000001</v>
      </c>
      <c r="F368" s="109" t="s">
        <v>127</v>
      </c>
      <c r="G368" s="96">
        <v>578</v>
      </c>
      <c r="I368" s="96">
        <v>560</v>
      </c>
      <c r="J368" s="96">
        <v>399.76400000000001</v>
      </c>
      <c r="K368" s="96">
        <v>508.89499999999998</v>
      </c>
      <c r="L368" s="96">
        <v>509.85199999999998</v>
      </c>
    </row>
    <row r="369" spans="1:12" x14ac:dyDescent="0.2">
      <c r="A369" s="106">
        <v>900</v>
      </c>
      <c r="B369" s="107" t="s">
        <v>166</v>
      </c>
      <c r="C369" s="106">
        <v>6171</v>
      </c>
      <c r="D369" s="106">
        <v>5136</v>
      </c>
      <c r="E369" s="108">
        <v>6171090000001</v>
      </c>
      <c r="F369" s="109" t="s">
        <v>55</v>
      </c>
      <c r="G369" s="96">
        <v>7</v>
      </c>
      <c r="I369" s="96">
        <v>7</v>
      </c>
      <c r="J369" s="96">
        <v>2.694</v>
      </c>
      <c r="K369" s="96">
        <v>4.383</v>
      </c>
      <c r="L369" s="96">
        <v>4.1379999999999999</v>
      </c>
    </row>
    <row r="370" spans="1:12" x14ac:dyDescent="0.2">
      <c r="A370" s="106">
        <v>900</v>
      </c>
      <c r="B370" s="107" t="s">
        <v>166</v>
      </c>
      <c r="C370" s="106">
        <v>6171</v>
      </c>
      <c r="D370" s="106">
        <v>5139</v>
      </c>
      <c r="E370" s="108">
        <v>6171090000001</v>
      </c>
      <c r="F370" s="109" t="s">
        <v>56</v>
      </c>
      <c r="G370" s="96">
        <v>10</v>
      </c>
      <c r="I370" s="96">
        <v>10</v>
      </c>
      <c r="J370" s="96">
        <v>2.71</v>
      </c>
      <c r="K370" s="96">
        <v>3.3039999999999998</v>
      </c>
      <c r="L370" s="96">
        <v>2.093</v>
      </c>
    </row>
    <row r="371" spans="1:12" x14ac:dyDescent="0.2">
      <c r="A371" s="106">
        <v>900</v>
      </c>
      <c r="B371" s="107" t="s">
        <v>166</v>
      </c>
      <c r="C371" s="106">
        <v>6171</v>
      </c>
      <c r="D371" s="106">
        <v>5167</v>
      </c>
      <c r="E371" s="108">
        <v>6171090000001</v>
      </c>
      <c r="F371" s="109" t="s">
        <v>87</v>
      </c>
      <c r="G371" s="96">
        <v>145</v>
      </c>
      <c r="I371" s="96">
        <v>100</v>
      </c>
      <c r="J371" s="96">
        <v>48.606000000000002</v>
      </c>
      <c r="K371" s="96">
        <v>42.271999999999998</v>
      </c>
      <c r="L371" s="96">
        <v>87.647000000000006</v>
      </c>
    </row>
    <row r="372" spans="1:12" x14ac:dyDescent="0.2">
      <c r="A372" s="106">
        <v>900</v>
      </c>
      <c r="B372" s="107" t="s">
        <v>166</v>
      </c>
      <c r="C372" s="106">
        <v>6171</v>
      </c>
      <c r="D372" s="106">
        <v>5169</v>
      </c>
      <c r="E372" s="108">
        <v>6171090000001</v>
      </c>
      <c r="F372" s="109" t="s">
        <v>20</v>
      </c>
      <c r="G372" s="96">
        <v>35</v>
      </c>
      <c r="I372" s="96">
        <f>150-I373</f>
        <v>47</v>
      </c>
      <c r="J372" s="96">
        <f>107.862-J373</f>
        <v>41.311999999999998</v>
      </c>
      <c r="K372" s="96">
        <f>85.628-K373</f>
        <v>31.177999999999997</v>
      </c>
      <c r="L372" s="96">
        <f>64.94-L373</f>
        <v>34.69</v>
      </c>
    </row>
    <row r="373" spans="1:12" x14ac:dyDescent="0.2">
      <c r="A373" s="106">
        <v>900</v>
      </c>
      <c r="B373" s="107" t="s">
        <v>166</v>
      </c>
      <c r="C373" s="106">
        <v>6171</v>
      </c>
      <c r="D373" s="106">
        <v>5169</v>
      </c>
      <c r="E373" s="108">
        <v>6171090000001</v>
      </c>
      <c r="F373" s="109" t="s">
        <v>167</v>
      </c>
      <c r="G373" s="96">
        <v>125</v>
      </c>
      <c r="I373" s="96">
        <v>103</v>
      </c>
      <c r="J373" s="96">
        <v>66.55</v>
      </c>
      <c r="K373" s="96">
        <v>54.45</v>
      </c>
      <c r="L373" s="96">
        <v>30.25</v>
      </c>
    </row>
    <row r="374" spans="1:12" x14ac:dyDescent="0.2">
      <c r="A374" s="106">
        <v>900</v>
      </c>
      <c r="B374" s="107" t="s">
        <v>166</v>
      </c>
      <c r="C374" s="106">
        <v>6171</v>
      </c>
      <c r="D374" s="106">
        <v>5173</v>
      </c>
      <c r="E374" s="108">
        <v>6171090000001</v>
      </c>
      <c r="F374" s="109" t="s">
        <v>60</v>
      </c>
      <c r="G374" s="96">
        <v>20</v>
      </c>
      <c r="I374" s="96">
        <v>20</v>
      </c>
      <c r="J374" s="96">
        <v>12.859</v>
      </c>
      <c r="K374" s="96">
        <v>12.66</v>
      </c>
      <c r="L374" s="96">
        <v>12.874000000000001</v>
      </c>
    </row>
    <row r="375" spans="1:12" x14ac:dyDescent="0.2">
      <c r="A375" s="106">
        <v>900</v>
      </c>
      <c r="B375" s="107" t="s">
        <v>166</v>
      </c>
      <c r="C375" s="106">
        <v>6171</v>
      </c>
      <c r="D375" s="106">
        <v>5175</v>
      </c>
      <c r="E375" s="108">
        <v>6171090000001</v>
      </c>
      <c r="F375" s="109" t="s">
        <v>28</v>
      </c>
      <c r="G375" s="96">
        <v>3</v>
      </c>
      <c r="I375" s="96">
        <v>3</v>
      </c>
      <c r="J375" s="96">
        <v>1.639</v>
      </c>
      <c r="K375" s="96">
        <v>0.94599999999999995</v>
      </c>
      <c r="L375" s="96">
        <v>2.1859999999999999</v>
      </c>
    </row>
    <row r="376" spans="1:12" x14ac:dyDescent="0.2">
      <c r="A376" s="106">
        <v>900</v>
      </c>
      <c r="B376" s="107" t="s">
        <v>166</v>
      </c>
      <c r="C376" s="106">
        <v>6171</v>
      </c>
      <c r="D376" s="106">
        <v>5176</v>
      </c>
      <c r="E376" s="108">
        <v>6171090000001</v>
      </c>
      <c r="F376" s="109" t="s">
        <v>61</v>
      </c>
      <c r="G376" s="96">
        <v>12</v>
      </c>
      <c r="I376" s="96">
        <v>6</v>
      </c>
      <c r="J376" s="96">
        <v>1.9359999999999999</v>
      </c>
      <c r="K376" s="96">
        <v>0</v>
      </c>
      <c r="L376" s="96">
        <v>3.63</v>
      </c>
    </row>
    <row r="377" spans="1:12" x14ac:dyDescent="0.2">
      <c r="A377" s="106"/>
      <c r="B377" s="107"/>
      <c r="C377" s="106"/>
      <c r="D377" s="106">
        <v>5901</v>
      </c>
      <c r="E377" s="108"/>
      <c r="F377" s="109" t="s">
        <v>667</v>
      </c>
      <c r="G377" s="96">
        <v>6300</v>
      </c>
      <c r="I377" s="96"/>
      <c r="J377" s="96"/>
      <c r="K377" s="96"/>
      <c r="L377" s="96"/>
    </row>
    <row r="378" spans="1:12" ht="13.5" thickBot="1" x14ac:dyDescent="0.25">
      <c r="A378" s="106"/>
      <c r="B378" s="107"/>
      <c r="C378" s="106"/>
      <c r="D378" s="106"/>
      <c r="E378" s="108"/>
      <c r="F378" s="109" t="s">
        <v>503</v>
      </c>
      <c r="G378" s="96"/>
      <c r="I378" s="96"/>
      <c r="J378" s="96"/>
      <c r="K378" s="96">
        <f>3.932</f>
        <v>3.9319999999999999</v>
      </c>
      <c r="L378" s="96"/>
    </row>
    <row r="379" spans="1:12" x14ac:dyDescent="0.2">
      <c r="A379" s="110"/>
      <c r="B379" s="111" t="s">
        <v>17</v>
      </c>
      <c r="C379" s="112">
        <v>6171</v>
      </c>
      <c r="D379" s="113"/>
      <c r="E379" s="114"/>
      <c r="F379" s="115"/>
      <c r="G379" s="116">
        <f>SUM(G365:G378)</f>
        <v>15260</v>
      </c>
      <c r="I379" s="116">
        <f>SUM(I365:I378)</f>
        <v>8651</v>
      </c>
      <c r="J379" s="116">
        <f>SUM(J365:J378)</f>
        <v>6133.174</v>
      </c>
      <c r="K379" s="116">
        <f>SUM(K365:K378)</f>
        <v>7920.2909999999983</v>
      </c>
      <c r="L379" s="116">
        <f>SUM(L365:L378)</f>
        <v>7859.6799999999985</v>
      </c>
    </row>
    <row r="381" spans="1:12" x14ac:dyDescent="0.2">
      <c r="A381" s="106">
        <v>900</v>
      </c>
      <c r="B381" s="107" t="s">
        <v>168</v>
      </c>
      <c r="C381" s="106">
        <v>6310</v>
      </c>
      <c r="D381" s="106">
        <v>5141</v>
      </c>
      <c r="E381" s="108">
        <v>776</v>
      </c>
      <c r="F381" s="109" t="s">
        <v>168</v>
      </c>
      <c r="G381" s="96">
        <v>120</v>
      </c>
      <c r="I381" s="96">
        <v>102</v>
      </c>
      <c r="J381" s="96">
        <v>27.5</v>
      </c>
      <c r="K381" s="96">
        <v>157.06700000000001</v>
      </c>
      <c r="L381" s="96">
        <v>310.27999999999997</v>
      </c>
    </row>
    <row r="382" spans="1:12" x14ac:dyDescent="0.2">
      <c r="A382" s="106">
        <v>900</v>
      </c>
      <c r="B382" s="107" t="s">
        <v>169</v>
      </c>
      <c r="C382" s="106">
        <v>6310</v>
      </c>
      <c r="D382" s="106">
        <v>5141</v>
      </c>
      <c r="E382" s="108">
        <v>919</v>
      </c>
      <c r="F382" s="109" t="s">
        <v>169</v>
      </c>
      <c r="G382" s="96">
        <v>240</v>
      </c>
      <c r="I382" s="96">
        <v>120</v>
      </c>
      <c r="J382" s="96">
        <v>55.13</v>
      </c>
      <c r="K382" s="96">
        <v>224.7</v>
      </c>
      <c r="L382" s="96">
        <v>439.89</v>
      </c>
    </row>
    <row r="383" spans="1:12" x14ac:dyDescent="0.2">
      <c r="A383" s="106">
        <v>900</v>
      </c>
      <c r="B383" s="107" t="s">
        <v>170</v>
      </c>
      <c r="C383" s="106">
        <v>6310</v>
      </c>
      <c r="D383" s="106">
        <v>5141</v>
      </c>
      <c r="E383" s="108">
        <v>930</v>
      </c>
      <c r="F383" s="109" t="s">
        <v>170</v>
      </c>
      <c r="G383" s="96">
        <v>90</v>
      </c>
      <c r="I383" s="96">
        <v>42</v>
      </c>
      <c r="J383" s="96">
        <v>26.106000000000002</v>
      </c>
      <c r="K383" s="96">
        <v>130.916</v>
      </c>
      <c r="L383" s="96">
        <v>280.084</v>
      </c>
    </row>
    <row r="384" spans="1:12" x14ac:dyDescent="0.2">
      <c r="A384" s="106">
        <v>900</v>
      </c>
      <c r="B384" s="107" t="s">
        <v>171</v>
      </c>
      <c r="C384" s="106">
        <v>6310</v>
      </c>
      <c r="D384" s="106">
        <v>5163</v>
      </c>
      <c r="E384" s="108">
        <v>6310000000001</v>
      </c>
      <c r="F384" s="109" t="s">
        <v>172</v>
      </c>
      <c r="G384" s="96">
        <v>400</v>
      </c>
      <c r="I384" s="96">
        <v>400</v>
      </c>
      <c r="J384" s="96">
        <v>257.61599999999999</v>
      </c>
      <c r="K384" s="96">
        <v>319.94</v>
      </c>
      <c r="L384" s="96">
        <v>193.66800000000001</v>
      </c>
    </row>
    <row r="385" spans="1:12" ht="13.5" thickBot="1" x14ac:dyDescent="0.25">
      <c r="A385" s="106"/>
      <c r="B385" s="107"/>
      <c r="C385" s="106"/>
      <c r="D385" s="106"/>
      <c r="E385" s="108"/>
      <c r="F385" s="109" t="s">
        <v>503</v>
      </c>
      <c r="G385" s="96"/>
      <c r="I385" s="96"/>
      <c r="J385" s="96"/>
      <c r="K385" s="96"/>
      <c r="L385" s="96">
        <f>4.476+17.01+2.062+15.476</f>
        <v>39.024000000000001</v>
      </c>
    </row>
    <row r="386" spans="1:12" x14ac:dyDescent="0.2">
      <c r="A386" s="110"/>
      <c r="B386" s="111" t="s">
        <v>17</v>
      </c>
      <c r="C386" s="112">
        <v>6310</v>
      </c>
      <c r="D386" s="113"/>
      <c r="E386" s="114"/>
      <c r="F386" s="115"/>
      <c r="G386" s="116">
        <f>SUM(G381:G385)</f>
        <v>850</v>
      </c>
      <c r="I386" s="116">
        <f>SUM(I381:I385)</f>
        <v>664</v>
      </c>
      <c r="J386" s="116">
        <f>SUM(J381:J385)</f>
        <v>366.35199999999998</v>
      </c>
      <c r="K386" s="116">
        <f>SUM(K381:K385)</f>
        <v>832.62300000000005</v>
      </c>
      <c r="L386" s="116">
        <f>SUM(L381:L385)</f>
        <v>1262.9459999999999</v>
      </c>
    </row>
    <row r="388" spans="1:12" x14ac:dyDescent="0.2">
      <c r="A388" s="106">
        <v>900</v>
      </c>
      <c r="B388" s="107" t="s">
        <v>171</v>
      </c>
      <c r="C388" s="106">
        <v>6399</v>
      </c>
      <c r="D388" s="106">
        <v>5362</v>
      </c>
      <c r="E388" s="108">
        <v>6399000000001</v>
      </c>
      <c r="F388" s="109" t="s">
        <v>173</v>
      </c>
      <c r="G388" s="96">
        <v>6000</v>
      </c>
      <c r="I388" s="96">
        <v>6000</v>
      </c>
      <c r="J388" s="96">
        <f>1486.829-72.813</f>
        <v>1414.0159999999998</v>
      </c>
      <c r="K388" s="96">
        <f>-1492.526+1408.645</f>
        <v>-83.881000000000085</v>
      </c>
      <c r="L388" s="96">
        <v>13847.24</v>
      </c>
    </row>
    <row r="389" spans="1:12" x14ac:dyDescent="0.2">
      <c r="A389" s="106">
        <v>900</v>
      </c>
      <c r="B389" s="107" t="s">
        <v>174</v>
      </c>
      <c r="C389" s="106">
        <v>6399</v>
      </c>
      <c r="D389" s="106">
        <v>5365</v>
      </c>
      <c r="E389" s="108">
        <v>6399000000001</v>
      </c>
      <c r="F389" s="109" t="s">
        <v>174</v>
      </c>
      <c r="G389" s="96">
        <v>7000</v>
      </c>
      <c r="I389" s="96">
        <v>6000</v>
      </c>
      <c r="J389" s="96">
        <v>7283.27</v>
      </c>
      <c r="K389" s="96">
        <v>6641.64</v>
      </c>
      <c r="L389" s="96">
        <v>6000.39</v>
      </c>
    </row>
    <row r="390" spans="1:12" ht="13.5" thickBot="1" x14ac:dyDescent="0.25">
      <c r="A390" s="106"/>
      <c r="B390" s="107"/>
      <c r="C390" s="106"/>
      <c r="D390" s="106"/>
      <c r="E390" s="108"/>
      <c r="F390" s="109" t="s">
        <v>503</v>
      </c>
      <c r="G390" s="96"/>
      <c r="I390" s="96"/>
      <c r="J390" s="96"/>
      <c r="K390" s="96"/>
      <c r="L390" s="96"/>
    </row>
    <row r="391" spans="1:12" x14ac:dyDescent="0.2">
      <c r="A391" s="110"/>
      <c r="B391" s="111" t="s">
        <v>17</v>
      </c>
      <c r="C391" s="112">
        <v>6399</v>
      </c>
      <c r="D391" s="113"/>
      <c r="E391" s="114"/>
      <c r="F391" s="115"/>
      <c r="G391" s="116">
        <f>SUM(G388:G390)</f>
        <v>13000</v>
      </c>
      <c r="I391" s="116">
        <f>SUM(I388:I390)</f>
        <v>12000</v>
      </c>
      <c r="J391" s="116">
        <f>SUM(J388:J390)</f>
        <v>8697.2860000000001</v>
      </c>
      <c r="K391" s="116">
        <f>SUM(K388:K390)</f>
        <v>6557.759</v>
      </c>
      <c r="L391" s="116">
        <f>SUM(L388:L390)</f>
        <v>19847.63</v>
      </c>
    </row>
    <row r="393" spans="1:12" x14ac:dyDescent="0.2">
      <c r="A393" s="106">
        <v>900</v>
      </c>
      <c r="B393" s="107" t="s">
        <v>175</v>
      </c>
      <c r="C393" s="106">
        <v>6409</v>
      </c>
      <c r="D393" s="106">
        <v>5492</v>
      </c>
      <c r="E393" s="108">
        <v>918</v>
      </c>
      <c r="F393" s="109" t="s">
        <v>175</v>
      </c>
      <c r="G393" s="96">
        <v>50</v>
      </c>
      <c r="I393" s="96">
        <v>50</v>
      </c>
      <c r="J393" s="96">
        <v>28.609000000000002</v>
      </c>
      <c r="K393" s="96">
        <v>36.853999999999999</v>
      </c>
      <c r="L393" s="96">
        <v>36.811</v>
      </c>
    </row>
    <row r="394" spans="1:12" x14ac:dyDescent="0.2">
      <c r="A394" s="106">
        <v>900</v>
      </c>
      <c r="B394" s="107" t="s">
        <v>176</v>
      </c>
      <c r="C394" s="106">
        <v>6409</v>
      </c>
      <c r="D394" s="106">
        <v>5901</v>
      </c>
      <c r="E394" s="108">
        <v>6409000000001</v>
      </c>
      <c r="F394" s="109" t="s">
        <v>176</v>
      </c>
      <c r="G394" s="96">
        <v>1500</v>
      </c>
      <c r="I394" s="96">
        <v>1500</v>
      </c>
      <c r="J394" s="96">
        <v>0</v>
      </c>
      <c r="K394" s="96">
        <v>0</v>
      </c>
      <c r="L394" s="96">
        <v>0</v>
      </c>
    </row>
    <row r="395" spans="1:12" x14ac:dyDescent="0.2">
      <c r="A395" s="106">
        <v>900</v>
      </c>
      <c r="B395" s="107" t="s">
        <v>177</v>
      </c>
      <c r="C395" s="106">
        <v>6409</v>
      </c>
      <c r="D395" s="106">
        <v>5909</v>
      </c>
      <c r="E395" s="108">
        <v>6409000000002</v>
      </c>
      <c r="F395" s="109" t="s">
        <v>177</v>
      </c>
      <c r="G395" s="96">
        <v>1500</v>
      </c>
      <c r="I395" s="96">
        <v>1500</v>
      </c>
      <c r="J395" s="96">
        <v>0</v>
      </c>
      <c r="K395" s="96">
        <v>0</v>
      </c>
      <c r="L395" s="96">
        <v>0</v>
      </c>
    </row>
    <row r="396" spans="1:12" ht="13.5" thickBot="1" x14ac:dyDescent="0.25">
      <c r="A396" s="106"/>
      <c r="B396" s="107"/>
      <c r="C396" s="106"/>
      <c r="D396" s="106"/>
      <c r="E396" s="108"/>
      <c r="F396" s="109" t="s">
        <v>503</v>
      </c>
      <c r="G396" s="96"/>
      <c r="I396" s="96"/>
      <c r="J396" s="96">
        <f>15+5.4</f>
        <v>20.399999999999999</v>
      </c>
      <c r="K396" s="96">
        <v>8</v>
      </c>
      <c r="L396" s="96"/>
    </row>
    <row r="397" spans="1:12" x14ac:dyDescent="0.2">
      <c r="A397" s="110"/>
      <c r="B397" s="111" t="s">
        <v>17</v>
      </c>
      <c r="C397" s="112">
        <v>6409</v>
      </c>
      <c r="D397" s="113"/>
      <c r="E397" s="114"/>
      <c r="F397" s="115"/>
      <c r="G397" s="116">
        <f>SUM(G393:G396)</f>
        <v>3050</v>
      </c>
      <c r="I397" s="116">
        <f>SUM(I393:I396)</f>
        <v>3050</v>
      </c>
      <c r="J397" s="116">
        <f>SUM(J393:J396)</f>
        <v>49.009</v>
      </c>
      <c r="K397" s="116">
        <f>SUM(K393:K396)</f>
        <v>44.853999999999999</v>
      </c>
      <c r="L397" s="116">
        <f>SUM(L393:L396)</f>
        <v>36.811</v>
      </c>
    </row>
    <row r="399" spans="1:12" x14ac:dyDescent="0.2">
      <c r="A399" s="124"/>
      <c r="B399" s="125" t="s">
        <v>179</v>
      </c>
      <c r="C399" s="126"/>
      <c r="D399" s="127"/>
      <c r="E399" s="128"/>
      <c r="F399" s="129"/>
      <c r="G399" s="130">
        <f>SUM(G397,G391,G386,G379,G363,G344,G339,G334)</f>
        <v>53681.73</v>
      </c>
      <c r="I399" s="130">
        <f>SUM(I397,I391,I386,I379,I363,I344,I339,I334)</f>
        <v>44409.468999999997</v>
      </c>
      <c r="J399" s="130">
        <f>SUM(J397,J391,J386,J379,J363,J344,J339,J334)</f>
        <v>31863.86</v>
      </c>
      <c r="K399" s="130">
        <f>SUM(K397,K391,K386,K379,K363,K344,K339,K334)</f>
        <v>34598.613999999994</v>
      </c>
      <c r="L399" s="130">
        <f>SUM(L397,L391,L386,L379,L363,L344,L339,L334)</f>
        <v>46540.580999999998</v>
      </c>
    </row>
    <row r="402" spans="1:12" x14ac:dyDescent="0.2">
      <c r="A402" s="106">
        <v>1000</v>
      </c>
      <c r="B402" s="107" t="s">
        <v>180</v>
      </c>
      <c r="C402" s="106">
        <v>6171</v>
      </c>
      <c r="D402" s="106">
        <v>5011</v>
      </c>
      <c r="E402" s="108">
        <v>6171100000001</v>
      </c>
      <c r="F402" s="109" t="s">
        <v>125</v>
      </c>
      <c r="G402" s="96">
        <v>4044</v>
      </c>
      <c r="I402" s="96">
        <v>3800</v>
      </c>
      <c r="J402" s="96">
        <v>2676.3530000000001</v>
      </c>
      <c r="K402" s="96">
        <v>3490.7860000000001</v>
      </c>
      <c r="L402" s="96">
        <v>3087.3809999999999</v>
      </c>
    </row>
    <row r="403" spans="1:12" x14ac:dyDescent="0.2">
      <c r="A403" s="106">
        <v>1000</v>
      </c>
      <c r="B403" s="107" t="s">
        <v>180</v>
      </c>
      <c r="C403" s="106">
        <v>6171</v>
      </c>
      <c r="D403" s="106">
        <v>5021</v>
      </c>
      <c r="E403" s="108">
        <v>6171100000001</v>
      </c>
      <c r="F403" s="109" t="s">
        <v>181</v>
      </c>
      <c r="G403" s="96">
        <v>50</v>
      </c>
      <c r="I403" s="96">
        <v>50</v>
      </c>
      <c r="J403" s="96">
        <v>62.375</v>
      </c>
      <c r="K403" s="96">
        <v>45.627000000000002</v>
      </c>
      <c r="L403" s="96">
        <v>61.378</v>
      </c>
    </row>
    <row r="404" spans="1:12" x14ac:dyDescent="0.2">
      <c r="A404" s="106">
        <v>1000</v>
      </c>
      <c r="B404" s="107" t="s">
        <v>180</v>
      </c>
      <c r="C404" s="106">
        <v>6171</v>
      </c>
      <c r="D404" s="106">
        <v>5031</v>
      </c>
      <c r="E404" s="108">
        <v>6171100000001</v>
      </c>
      <c r="F404" s="109" t="s">
        <v>143</v>
      </c>
      <c r="G404" s="96">
        <v>1011</v>
      </c>
      <c r="I404" s="96">
        <v>950</v>
      </c>
      <c r="J404" s="96">
        <v>670.17899999999997</v>
      </c>
      <c r="K404" s="96">
        <v>856.245</v>
      </c>
      <c r="L404" s="96">
        <v>770.67600000000004</v>
      </c>
    </row>
    <row r="405" spans="1:12" x14ac:dyDescent="0.2">
      <c r="A405" s="106">
        <v>1000</v>
      </c>
      <c r="B405" s="107" t="s">
        <v>180</v>
      </c>
      <c r="C405" s="106">
        <v>6171</v>
      </c>
      <c r="D405" s="106">
        <v>5032</v>
      </c>
      <c r="E405" s="108">
        <v>6171100000001</v>
      </c>
      <c r="F405" s="109" t="s">
        <v>300</v>
      </c>
      <c r="G405" s="96">
        <v>364</v>
      </c>
      <c r="I405" s="96">
        <v>342</v>
      </c>
      <c r="J405" s="96">
        <v>244.08799999999999</v>
      </c>
      <c r="K405" s="96">
        <v>310.74400000000003</v>
      </c>
      <c r="L405" s="96">
        <v>278.36799999999999</v>
      </c>
    </row>
    <row r="406" spans="1:12" x14ac:dyDescent="0.2">
      <c r="A406" s="106">
        <v>1000</v>
      </c>
      <c r="B406" s="107" t="s">
        <v>180</v>
      </c>
      <c r="C406" s="106">
        <v>6171</v>
      </c>
      <c r="D406" s="106">
        <v>5041</v>
      </c>
      <c r="E406" s="108">
        <v>6171100000001</v>
      </c>
      <c r="F406" s="109" t="s">
        <v>556</v>
      </c>
      <c r="G406" s="96">
        <v>10</v>
      </c>
      <c r="I406" s="96"/>
      <c r="J406" s="96"/>
      <c r="K406" s="96">
        <v>0</v>
      </c>
      <c r="L406" s="96"/>
    </row>
    <row r="407" spans="1:12" x14ac:dyDescent="0.2">
      <c r="A407" s="106">
        <v>1000</v>
      </c>
      <c r="B407" s="107" t="s">
        <v>180</v>
      </c>
      <c r="C407" s="106">
        <v>6171</v>
      </c>
      <c r="D407" s="106">
        <v>5136</v>
      </c>
      <c r="E407" s="108">
        <v>6171100000001</v>
      </c>
      <c r="F407" s="109" t="s">
        <v>55</v>
      </c>
      <c r="G407" s="96">
        <v>1</v>
      </c>
      <c r="I407" s="96">
        <v>1</v>
      </c>
      <c r="J407" s="96">
        <v>0</v>
      </c>
      <c r="K407" s="96">
        <v>0</v>
      </c>
      <c r="L407" s="96">
        <v>0</v>
      </c>
    </row>
    <row r="408" spans="1:12" x14ac:dyDescent="0.2">
      <c r="A408" s="106">
        <v>1000</v>
      </c>
      <c r="B408" s="107" t="s">
        <v>180</v>
      </c>
      <c r="C408" s="106">
        <v>6171</v>
      </c>
      <c r="D408" s="106">
        <v>5137</v>
      </c>
      <c r="E408" s="108">
        <v>6171100000001</v>
      </c>
      <c r="F408" s="109" t="s">
        <v>182</v>
      </c>
      <c r="G408" s="96">
        <v>1010</v>
      </c>
      <c r="I408" s="96">
        <v>662</v>
      </c>
      <c r="J408" s="96">
        <f>540.919-J409</f>
        <v>454.709</v>
      </c>
      <c r="K408" s="96">
        <v>719.38199999999995</v>
      </c>
      <c r="L408" s="96">
        <v>395.77499999999998</v>
      </c>
    </row>
    <row r="409" spans="1:12" x14ac:dyDescent="0.2">
      <c r="A409" s="106">
        <v>1000</v>
      </c>
      <c r="B409" s="107" t="s">
        <v>180</v>
      </c>
      <c r="C409" s="106">
        <v>6171</v>
      </c>
      <c r="D409" s="106">
        <v>5137</v>
      </c>
      <c r="E409" s="108">
        <v>6171100000001</v>
      </c>
      <c r="F409" s="109" t="s">
        <v>557</v>
      </c>
      <c r="G409" s="96">
        <v>0</v>
      </c>
      <c r="I409" s="96"/>
      <c r="J409" s="96">
        <v>86.21</v>
      </c>
      <c r="K409" s="96"/>
      <c r="L409" s="96"/>
    </row>
    <row r="410" spans="1:12" x14ac:dyDescent="0.2">
      <c r="A410" s="106">
        <v>1000</v>
      </c>
      <c r="B410" s="107" t="s">
        <v>180</v>
      </c>
      <c r="C410" s="106">
        <v>6171</v>
      </c>
      <c r="D410" s="106">
        <v>5139</v>
      </c>
      <c r="E410" s="108">
        <v>6171100000001</v>
      </c>
      <c r="F410" s="109" t="s">
        <v>56</v>
      </c>
      <c r="G410" s="96">
        <v>650</v>
      </c>
      <c r="I410" s="96">
        <v>650</v>
      </c>
      <c r="J410" s="96">
        <v>244.62299999999999</v>
      </c>
      <c r="K410" s="96">
        <v>584.47799999999995</v>
      </c>
      <c r="L410" s="96">
        <v>718.322</v>
      </c>
    </row>
    <row r="411" spans="1:12" x14ac:dyDescent="0.2">
      <c r="A411" s="106">
        <v>1000</v>
      </c>
      <c r="B411" s="107" t="s">
        <v>180</v>
      </c>
      <c r="C411" s="106">
        <v>6171</v>
      </c>
      <c r="D411" s="106">
        <v>5162</v>
      </c>
      <c r="E411" s="108">
        <v>6171100000001</v>
      </c>
      <c r="F411" s="109" t="s">
        <v>183</v>
      </c>
      <c r="G411" s="96">
        <v>405</v>
      </c>
      <c r="I411" s="96">
        <v>390</v>
      </c>
      <c r="J411" s="96">
        <v>300.92700000000002</v>
      </c>
      <c r="K411" s="96">
        <v>397.59</v>
      </c>
      <c r="L411" s="96">
        <v>275.85700000000003</v>
      </c>
    </row>
    <row r="412" spans="1:12" x14ac:dyDescent="0.2">
      <c r="A412" s="106">
        <v>1000</v>
      </c>
      <c r="B412" s="107" t="s">
        <v>180</v>
      </c>
      <c r="C412" s="106">
        <v>6171</v>
      </c>
      <c r="D412" s="106">
        <v>5167</v>
      </c>
      <c r="E412" s="108">
        <v>6171100000001</v>
      </c>
      <c r="F412" s="109" t="s">
        <v>185</v>
      </c>
      <c r="G412" s="96">
        <v>150</v>
      </c>
      <c r="I412" s="96">
        <v>75</v>
      </c>
      <c r="J412" s="96">
        <v>1.8149999999999999</v>
      </c>
      <c r="K412" s="96">
        <v>44.286000000000001</v>
      </c>
      <c r="L412" s="96">
        <v>24.224</v>
      </c>
    </row>
    <row r="413" spans="1:12" x14ac:dyDescent="0.2">
      <c r="A413" s="106">
        <v>1000</v>
      </c>
      <c r="B413" s="107" t="s">
        <v>180</v>
      </c>
      <c r="C413" s="106">
        <v>6171</v>
      </c>
      <c r="D413" s="106">
        <v>5168</v>
      </c>
      <c r="E413" s="108">
        <v>6171100000001</v>
      </c>
      <c r="F413" s="109" t="s">
        <v>186</v>
      </c>
      <c r="G413" s="96">
        <v>4115</v>
      </c>
      <c r="I413" s="96">
        <v>3720</v>
      </c>
      <c r="J413" s="96">
        <v>2500.163</v>
      </c>
      <c r="K413" s="96">
        <v>3447.9630000000002</v>
      </c>
      <c r="L413" s="96">
        <v>3420.9780000000001</v>
      </c>
    </row>
    <row r="414" spans="1:12" x14ac:dyDescent="0.2">
      <c r="A414" s="106">
        <v>1000</v>
      </c>
      <c r="B414" s="107" t="s">
        <v>180</v>
      </c>
      <c r="C414" s="106">
        <v>6171</v>
      </c>
      <c r="D414" s="106">
        <v>5169</v>
      </c>
      <c r="E414" s="108">
        <v>6171100000001</v>
      </c>
      <c r="F414" s="109" t="s">
        <v>12</v>
      </c>
      <c r="G414" s="96">
        <v>280</v>
      </c>
      <c r="I414" s="96">
        <v>300</v>
      </c>
      <c r="J414" s="96">
        <v>211.48599999999999</v>
      </c>
      <c r="K414" s="96">
        <v>475.73200000000003</v>
      </c>
      <c r="L414" s="96">
        <v>225.655</v>
      </c>
    </row>
    <row r="415" spans="1:12" x14ac:dyDescent="0.2">
      <c r="A415" s="106">
        <v>1000</v>
      </c>
      <c r="B415" s="107" t="s">
        <v>180</v>
      </c>
      <c r="C415" s="106">
        <v>6171</v>
      </c>
      <c r="D415" s="106">
        <v>5171</v>
      </c>
      <c r="E415" s="108">
        <v>6171100000001</v>
      </c>
      <c r="F415" s="109" t="s">
        <v>13</v>
      </c>
      <c r="G415" s="96">
        <v>75</v>
      </c>
      <c r="I415" s="96">
        <v>75</v>
      </c>
      <c r="J415" s="96">
        <v>62.738999999999997</v>
      </c>
      <c r="K415" s="96">
        <v>100.17700000000001</v>
      </c>
      <c r="L415" s="96">
        <v>70.17</v>
      </c>
    </row>
    <row r="416" spans="1:12" x14ac:dyDescent="0.2">
      <c r="A416" s="106">
        <v>1000</v>
      </c>
      <c r="B416" s="107" t="s">
        <v>180</v>
      </c>
      <c r="C416" s="106">
        <v>6171</v>
      </c>
      <c r="D416" s="106">
        <v>5172</v>
      </c>
      <c r="E416" s="108">
        <v>6171100000001</v>
      </c>
      <c r="F416" s="109" t="s">
        <v>187</v>
      </c>
      <c r="G416" s="96">
        <v>150</v>
      </c>
      <c r="I416" s="96">
        <v>210</v>
      </c>
      <c r="J416" s="96">
        <v>167.44</v>
      </c>
      <c r="K416" s="96">
        <v>147.916</v>
      </c>
      <c r="L416" s="96">
        <v>268.15699999999998</v>
      </c>
    </row>
    <row r="417" spans="1:12" x14ac:dyDescent="0.2">
      <c r="A417" s="106">
        <v>1000</v>
      </c>
      <c r="B417" s="107" t="s">
        <v>180</v>
      </c>
      <c r="C417" s="106">
        <v>6171</v>
      </c>
      <c r="D417" s="106">
        <v>5173</v>
      </c>
      <c r="E417" s="108">
        <v>6171100000001</v>
      </c>
      <c r="F417" s="109" t="s">
        <v>14</v>
      </c>
      <c r="G417" s="96">
        <v>10</v>
      </c>
      <c r="I417" s="96">
        <v>10</v>
      </c>
      <c r="J417" s="96">
        <v>6.0220000000000002</v>
      </c>
      <c r="K417" s="96">
        <v>13.189</v>
      </c>
      <c r="L417" s="96">
        <v>8.1980000000000004</v>
      </c>
    </row>
    <row r="418" spans="1:12" x14ac:dyDescent="0.2">
      <c r="A418" s="106">
        <v>1000</v>
      </c>
      <c r="B418" s="107" t="s">
        <v>180</v>
      </c>
      <c r="C418" s="106">
        <v>6171</v>
      </c>
      <c r="D418" s="106">
        <v>5175</v>
      </c>
      <c r="E418" s="108">
        <v>6171100000001</v>
      </c>
      <c r="F418" s="109" t="s">
        <v>28</v>
      </c>
      <c r="G418" s="96">
        <v>10</v>
      </c>
      <c r="I418" s="96"/>
      <c r="J418" s="96"/>
      <c r="K418" s="96">
        <v>0</v>
      </c>
      <c r="L418" s="96"/>
    </row>
    <row r="419" spans="1:12" x14ac:dyDescent="0.2">
      <c r="A419" s="106">
        <v>1000</v>
      </c>
      <c r="B419" s="107" t="s">
        <v>180</v>
      </c>
      <c r="C419" s="106">
        <v>6171</v>
      </c>
      <c r="D419" s="106">
        <v>5176</v>
      </c>
      <c r="E419" s="108">
        <v>6171100000001</v>
      </c>
      <c r="F419" s="109" t="s">
        <v>61</v>
      </c>
      <c r="G419" s="96">
        <v>10</v>
      </c>
      <c r="I419" s="96"/>
      <c r="J419" s="96"/>
      <c r="K419" s="96">
        <v>0</v>
      </c>
      <c r="L419" s="96"/>
    </row>
    <row r="420" spans="1:12" x14ac:dyDescent="0.2">
      <c r="A420" s="106">
        <v>1000</v>
      </c>
      <c r="B420" s="107" t="s">
        <v>180</v>
      </c>
      <c r="C420" s="106">
        <v>6171</v>
      </c>
      <c r="D420" s="106">
        <v>5901</v>
      </c>
      <c r="E420" s="108">
        <v>6171100000001</v>
      </c>
      <c r="F420" s="109" t="s">
        <v>29</v>
      </c>
      <c r="G420" s="96">
        <v>100</v>
      </c>
      <c r="I420" s="96"/>
      <c r="J420" s="96"/>
      <c r="K420" s="96">
        <v>0</v>
      </c>
      <c r="L420" s="96">
        <v>0</v>
      </c>
    </row>
    <row r="421" spans="1:12" ht="13.5" thickBot="1" x14ac:dyDescent="0.25">
      <c r="A421" s="106"/>
      <c r="B421" s="107"/>
      <c r="C421" s="106"/>
      <c r="D421" s="106"/>
      <c r="E421" s="108"/>
      <c r="F421" s="109" t="s">
        <v>503</v>
      </c>
      <c r="G421" s="96"/>
      <c r="I421" s="96"/>
      <c r="J421" s="96"/>
      <c r="K421" s="96"/>
      <c r="L421" s="96"/>
    </row>
    <row r="422" spans="1:12" x14ac:dyDescent="0.2">
      <c r="A422" s="110"/>
      <c r="B422" s="111" t="s">
        <v>17</v>
      </c>
      <c r="C422" s="112">
        <v>6171</v>
      </c>
      <c r="D422" s="113"/>
      <c r="E422" s="114"/>
      <c r="F422" s="115"/>
      <c r="G422" s="116">
        <f>SUM(G402:G421)</f>
        <v>12445</v>
      </c>
      <c r="I422" s="116">
        <f>SUM(I402:I421)</f>
        <v>11235</v>
      </c>
      <c r="J422" s="116">
        <f>SUM(J402:J421)</f>
        <v>7689.1289999999981</v>
      </c>
      <c r="K422" s="116">
        <f>SUM(K402:K421)</f>
        <v>10634.115</v>
      </c>
      <c r="L422" s="116">
        <f>SUM(L402:L421)</f>
        <v>9605.1389999999992</v>
      </c>
    </row>
    <row r="424" spans="1:12" x14ac:dyDescent="0.2">
      <c r="A424" s="124"/>
      <c r="B424" s="125" t="s">
        <v>189</v>
      </c>
      <c r="C424" s="126"/>
      <c r="D424" s="127"/>
      <c r="E424" s="128"/>
      <c r="F424" s="129"/>
      <c r="G424" s="130">
        <f>SUM(G422)</f>
        <v>12445</v>
      </c>
      <c r="I424" s="130">
        <f>SUM(I422)</f>
        <v>11235</v>
      </c>
      <c r="J424" s="130">
        <f>SUM(J422)</f>
        <v>7689.1289999999981</v>
      </c>
      <c r="K424" s="130">
        <f>SUM(K422)</f>
        <v>10634.115</v>
      </c>
      <c r="L424" s="130">
        <f>SUM(L422)</f>
        <v>9605.1389999999992</v>
      </c>
    </row>
    <row r="427" spans="1:12" x14ac:dyDescent="0.2">
      <c r="A427" s="106">
        <v>1100</v>
      </c>
      <c r="B427" s="107" t="s">
        <v>444</v>
      </c>
      <c r="C427" s="106">
        <v>1014</v>
      </c>
      <c r="D427" s="106">
        <v>5169</v>
      </c>
      <c r="E427" s="108">
        <v>1014000000001</v>
      </c>
      <c r="F427" s="109" t="s">
        <v>404</v>
      </c>
      <c r="G427" s="96">
        <v>200</v>
      </c>
      <c r="I427" s="96">
        <v>100</v>
      </c>
      <c r="J427" s="96">
        <v>0</v>
      </c>
      <c r="K427" s="96">
        <v>22.385000000000002</v>
      </c>
      <c r="L427" s="96">
        <v>52.252000000000002</v>
      </c>
    </row>
    <row r="428" spans="1:12" ht="13.5" thickBot="1" x14ac:dyDescent="0.25">
      <c r="A428" s="106"/>
      <c r="B428" s="107"/>
      <c r="C428" s="106"/>
      <c r="D428" s="106"/>
      <c r="E428" s="108"/>
      <c r="F428" s="109" t="s">
        <v>503</v>
      </c>
      <c r="G428" s="96"/>
      <c r="I428" s="96"/>
      <c r="J428" s="96"/>
      <c r="K428" s="96"/>
      <c r="L428" s="96"/>
    </row>
    <row r="429" spans="1:12" x14ac:dyDescent="0.2">
      <c r="A429" s="110"/>
      <c r="B429" s="111" t="s">
        <v>17</v>
      </c>
      <c r="C429" s="112">
        <v>1014</v>
      </c>
      <c r="D429" s="113"/>
      <c r="E429" s="114"/>
      <c r="F429" s="115"/>
      <c r="G429" s="116">
        <f>SUM(G427:G428)</f>
        <v>200</v>
      </c>
      <c r="I429" s="116">
        <f>SUM(I427:I428)</f>
        <v>100</v>
      </c>
      <c r="J429" s="116">
        <f>SUM(J427:J428)</f>
        <v>0</v>
      </c>
      <c r="K429" s="116">
        <f>SUM(K427:K428)</f>
        <v>22.385000000000002</v>
      </c>
      <c r="L429" s="116">
        <f>SUM(L427:L428)</f>
        <v>52.252000000000002</v>
      </c>
    </row>
    <row r="431" spans="1:12" x14ac:dyDescent="0.2">
      <c r="A431" s="106">
        <v>1100</v>
      </c>
      <c r="B431" s="107" t="s">
        <v>190</v>
      </c>
      <c r="C431" s="106">
        <v>2212</v>
      </c>
      <c r="D431" s="106">
        <v>5139</v>
      </c>
      <c r="E431" s="108">
        <v>2212000000001</v>
      </c>
      <c r="F431" s="109" t="s">
        <v>191</v>
      </c>
      <c r="G431" s="96">
        <v>40</v>
      </c>
      <c r="I431" s="96">
        <v>40</v>
      </c>
      <c r="J431" s="96">
        <v>48.73</v>
      </c>
      <c r="K431" s="96">
        <v>94</v>
      </c>
      <c r="L431" s="96">
        <v>65.216999999999999</v>
      </c>
    </row>
    <row r="432" spans="1:12" x14ac:dyDescent="0.2">
      <c r="A432" s="106">
        <v>1100</v>
      </c>
      <c r="B432" s="107" t="s">
        <v>190</v>
      </c>
      <c r="C432" s="106">
        <v>2212</v>
      </c>
      <c r="D432" s="106">
        <v>5164</v>
      </c>
      <c r="E432" s="108">
        <v>2212000000001</v>
      </c>
      <c r="F432" s="109" t="s">
        <v>573</v>
      </c>
      <c r="G432" s="96">
        <v>29</v>
      </c>
      <c r="I432" s="96">
        <v>0.2</v>
      </c>
      <c r="J432" s="96">
        <v>24.457999999999998</v>
      </c>
      <c r="K432" s="96">
        <v>21.199000000000002</v>
      </c>
      <c r="L432" s="96">
        <v>70.596999999999994</v>
      </c>
    </row>
    <row r="433" spans="1:12" x14ac:dyDescent="0.2">
      <c r="A433" s="106">
        <v>1100</v>
      </c>
      <c r="B433" s="107" t="s">
        <v>190</v>
      </c>
      <c r="C433" s="106">
        <v>2212</v>
      </c>
      <c r="D433" s="106">
        <v>5166</v>
      </c>
      <c r="E433" s="108">
        <v>2212000000001</v>
      </c>
      <c r="F433" s="109" t="s">
        <v>129</v>
      </c>
      <c r="G433" s="96">
        <v>100</v>
      </c>
      <c r="I433" s="96">
        <v>100</v>
      </c>
      <c r="J433" s="96">
        <v>41.625</v>
      </c>
      <c r="K433" s="96">
        <v>86.561000000000007</v>
      </c>
      <c r="L433" s="96">
        <v>148.13300000000001</v>
      </c>
    </row>
    <row r="434" spans="1:12" x14ac:dyDescent="0.2">
      <c r="A434" s="106">
        <v>1100</v>
      </c>
      <c r="B434" s="107" t="s">
        <v>190</v>
      </c>
      <c r="C434" s="106">
        <v>2212</v>
      </c>
      <c r="D434" s="106">
        <v>5171</v>
      </c>
      <c r="E434" s="108">
        <v>2212000000001</v>
      </c>
      <c r="F434" s="109" t="s">
        <v>574</v>
      </c>
      <c r="G434" s="96">
        <v>5000</v>
      </c>
      <c r="I434" s="96"/>
      <c r="J434" s="96"/>
      <c r="K434" s="96"/>
      <c r="L434" s="96"/>
    </row>
    <row r="435" spans="1:12" x14ac:dyDescent="0.2">
      <c r="A435" s="106">
        <v>1100</v>
      </c>
      <c r="B435" s="107" t="s">
        <v>190</v>
      </c>
      <c r="C435" s="106">
        <v>2212</v>
      </c>
      <c r="D435" s="106">
        <v>5171</v>
      </c>
      <c r="E435" s="108">
        <v>2212000000001</v>
      </c>
      <c r="F435" s="109" t="s">
        <v>445</v>
      </c>
      <c r="G435" s="96">
        <v>1000</v>
      </c>
      <c r="I435" s="96">
        <v>800</v>
      </c>
      <c r="J435" s="96">
        <v>0</v>
      </c>
      <c r="K435" s="96">
        <v>935.74300000000005</v>
      </c>
      <c r="L435" s="96">
        <v>522.43399999999997</v>
      </c>
    </row>
    <row r="436" spans="1:12" x14ac:dyDescent="0.2">
      <c r="A436" s="106">
        <v>1100</v>
      </c>
      <c r="B436" s="107" t="s">
        <v>190</v>
      </c>
      <c r="C436" s="106">
        <v>2212</v>
      </c>
      <c r="D436" s="106">
        <v>5171</v>
      </c>
      <c r="E436" s="108">
        <v>2212000000001</v>
      </c>
      <c r="F436" s="109" t="s">
        <v>575</v>
      </c>
      <c r="G436" s="96">
        <v>70</v>
      </c>
      <c r="I436" s="96">
        <f>925-I435</f>
        <v>125</v>
      </c>
      <c r="J436" s="96">
        <f>2841.189</f>
        <v>2841.1889999999999</v>
      </c>
      <c r="K436" s="96">
        <f>13345.077-K435-K434-K437</f>
        <v>12409.333999999999</v>
      </c>
      <c r="L436" s="96">
        <f>1114.668-SUM(L434:L435)</f>
        <v>592.23399999999992</v>
      </c>
    </row>
    <row r="437" spans="1:12" x14ac:dyDescent="0.2">
      <c r="A437" s="106">
        <v>1100</v>
      </c>
      <c r="B437" s="107" t="s">
        <v>190</v>
      </c>
      <c r="C437" s="106">
        <v>2212</v>
      </c>
      <c r="D437" s="106">
        <v>5171</v>
      </c>
      <c r="E437" s="108">
        <v>2212000000001</v>
      </c>
      <c r="F437" s="109" t="s">
        <v>576</v>
      </c>
      <c r="G437" s="96">
        <v>1000</v>
      </c>
      <c r="I437" s="96"/>
      <c r="J437" s="96"/>
      <c r="K437" s="96">
        <v>0</v>
      </c>
      <c r="L437" s="96"/>
    </row>
    <row r="438" spans="1:12" ht="13.5" thickBot="1" x14ac:dyDescent="0.25">
      <c r="A438" s="106"/>
      <c r="B438" s="107"/>
      <c r="C438" s="106"/>
      <c r="D438" s="106"/>
      <c r="E438" s="108"/>
      <c r="F438" s="109" t="s">
        <v>503</v>
      </c>
      <c r="G438" s="96"/>
      <c r="I438" s="96"/>
      <c r="J438" s="96">
        <f>154.143</f>
        <v>154.143</v>
      </c>
      <c r="K438" s="96">
        <f>14+48.926</f>
        <v>62.926000000000002</v>
      </c>
      <c r="L438" s="96">
        <f>204.97+45.522</f>
        <v>250.49199999999999</v>
      </c>
    </row>
    <row r="439" spans="1:12" x14ac:dyDescent="0.2">
      <c r="A439" s="110"/>
      <c r="B439" s="111" t="s">
        <v>17</v>
      </c>
      <c r="C439" s="112">
        <v>2212</v>
      </c>
      <c r="D439" s="113"/>
      <c r="E439" s="114"/>
      <c r="F439" s="115"/>
      <c r="G439" s="116">
        <f>SUM(G431:G438)</f>
        <v>7239</v>
      </c>
      <c r="I439" s="116">
        <f>SUM(I431:I438)</f>
        <v>1065.2</v>
      </c>
      <c r="J439" s="116">
        <f>SUM(J431:J438)</f>
        <v>3110.145</v>
      </c>
      <c r="K439" s="116">
        <f>SUM(K431:K438)</f>
        <v>13609.762999999999</v>
      </c>
      <c r="L439" s="116">
        <f>SUM(L431:L438)</f>
        <v>1649.1069999999997</v>
      </c>
    </row>
    <row r="441" spans="1:12" x14ac:dyDescent="0.2">
      <c r="A441" s="106">
        <v>1100</v>
      </c>
      <c r="B441" s="107" t="s">
        <v>194</v>
      </c>
      <c r="C441" s="106">
        <v>2219</v>
      </c>
      <c r="D441" s="106">
        <v>5139</v>
      </c>
      <c r="E441" s="108">
        <v>2219000000001</v>
      </c>
      <c r="F441" s="109" t="s">
        <v>56</v>
      </c>
      <c r="G441" s="96">
        <v>10</v>
      </c>
      <c r="I441" s="96">
        <v>5</v>
      </c>
      <c r="J441" s="96">
        <v>0</v>
      </c>
      <c r="K441" s="96">
        <v>2.617</v>
      </c>
      <c r="L441" s="96">
        <v>0</v>
      </c>
    </row>
    <row r="442" spans="1:12" x14ac:dyDescent="0.2">
      <c r="A442" s="106">
        <v>1100</v>
      </c>
      <c r="B442" s="107" t="s">
        <v>194</v>
      </c>
      <c r="C442" s="106">
        <v>2219</v>
      </c>
      <c r="D442" s="106">
        <v>5164</v>
      </c>
      <c r="E442" s="108">
        <v>2219000000001</v>
      </c>
      <c r="F442" s="109" t="s">
        <v>107</v>
      </c>
      <c r="G442" s="96">
        <v>5</v>
      </c>
      <c r="I442" s="96">
        <v>15</v>
      </c>
      <c r="J442" s="96">
        <v>0</v>
      </c>
      <c r="K442" s="96">
        <v>24.2</v>
      </c>
      <c r="L442" s="96">
        <v>0</v>
      </c>
    </row>
    <row r="443" spans="1:12" x14ac:dyDescent="0.2">
      <c r="A443" s="106">
        <v>1100</v>
      </c>
      <c r="B443" s="107" t="s">
        <v>194</v>
      </c>
      <c r="C443" s="106">
        <v>2219</v>
      </c>
      <c r="D443" s="106">
        <v>5166</v>
      </c>
      <c r="E443" s="108">
        <v>2219000000001</v>
      </c>
      <c r="F443" s="109" t="s">
        <v>195</v>
      </c>
      <c r="G443" s="96">
        <v>20</v>
      </c>
      <c r="I443" s="96">
        <v>35</v>
      </c>
      <c r="J443" s="96">
        <v>0</v>
      </c>
      <c r="K443" s="96">
        <v>9.68</v>
      </c>
      <c r="L443" s="96">
        <v>0</v>
      </c>
    </row>
    <row r="444" spans="1:12" x14ac:dyDescent="0.2">
      <c r="A444" s="106">
        <v>1100</v>
      </c>
      <c r="B444" s="107" t="s">
        <v>194</v>
      </c>
      <c r="C444" s="106">
        <v>2219</v>
      </c>
      <c r="D444" s="106">
        <v>5171</v>
      </c>
      <c r="E444" s="108">
        <v>2219000000001</v>
      </c>
      <c r="F444" s="109" t="s">
        <v>108</v>
      </c>
      <c r="G444" s="96">
        <v>120</v>
      </c>
      <c r="I444" s="96">
        <v>100</v>
      </c>
      <c r="J444" s="96">
        <v>2.42</v>
      </c>
      <c r="K444" s="96">
        <v>420.74599999999998</v>
      </c>
      <c r="L444" s="96">
        <v>121.248</v>
      </c>
    </row>
    <row r="445" spans="1:12" ht="13.5" thickBot="1" x14ac:dyDescent="0.25">
      <c r="A445" s="106"/>
      <c r="B445" s="107"/>
      <c r="C445" s="106"/>
      <c r="D445" s="106"/>
      <c r="E445" s="108"/>
      <c r="F445" s="109" t="s">
        <v>503</v>
      </c>
      <c r="G445" s="96"/>
      <c r="I445" s="96"/>
      <c r="J445" s="96"/>
      <c r="K445" s="96">
        <f>5</f>
        <v>5</v>
      </c>
      <c r="L445" s="96">
        <f>22.063+245.863</f>
        <v>267.92599999999999</v>
      </c>
    </row>
    <row r="446" spans="1:12" x14ac:dyDescent="0.2">
      <c r="A446" s="110"/>
      <c r="B446" s="111" t="s">
        <v>17</v>
      </c>
      <c r="C446" s="112">
        <v>2219</v>
      </c>
      <c r="D446" s="113"/>
      <c r="E446" s="114"/>
      <c r="F446" s="115"/>
      <c r="G446" s="116">
        <f>SUM(G441:G445)</f>
        <v>155</v>
      </c>
      <c r="I446" s="116">
        <f>SUM(I441:I445)</f>
        <v>155</v>
      </c>
      <c r="J446" s="116">
        <f>SUM(J441:J445)</f>
        <v>2.42</v>
      </c>
      <c r="K446" s="116">
        <f>SUM(K441:K445)</f>
        <v>462.24299999999999</v>
      </c>
      <c r="L446" s="116">
        <f>SUM(L441:L445)</f>
        <v>389.17399999999998</v>
      </c>
    </row>
    <row r="448" spans="1:12" x14ac:dyDescent="0.2">
      <c r="A448" s="106">
        <v>1100</v>
      </c>
      <c r="B448" s="107" t="s">
        <v>198</v>
      </c>
      <c r="C448" s="106">
        <v>2292</v>
      </c>
      <c r="D448" s="106">
        <v>5171</v>
      </c>
      <c r="E448" s="108">
        <v>2292000000001</v>
      </c>
      <c r="F448" s="109" t="s">
        <v>199</v>
      </c>
      <c r="G448" s="96">
        <v>20</v>
      </c>
      <c r="I448" s="96">
        <v>20</v>
      </c>
      <c r="J448" s="96">
        <v>0</v>
      </c>
      <c r="K448" s="96">
        <v>22.318000000000001</v>
      </c>
      <c r="L448" s="96">
        <v>0</v>
      </c>
    </row>
    <row r="449" spans="1:12" x14ac:dyDescent="0.2">
      <c r="A449" s="106">
        <v>1100</v>
      </c>
      <c r="B449" s="107" t="s">
        <v>198</v>
      </c>
      <c r="C449" s="106">
        <v>2292</v>
      </c>
      <c r="D449" s="106">
        <v>5193</v>
      </c>
      <c r="E449" s="108">
        <v>2292000000001</v>
      </c>
      <c r="F449" s="109" t="s">
        <v>200</v>
      </c>
      <c r="G449" s="96">
        <v>900</v>
      </c>
      <c r="I449" s="96">
        <v>768</v>
      </c>
      <c r="J449" s="96">
        <v>766.48599999999999</v>
      </c>
      <c r="K449" s="96">
        <v>767.79100000000005</v>
      </c>
      <c r="L449" s="96">
        <v>707.97500000000002</v>
      </c>
    </row>
    <row r="450" spans="1:12" x14ac:dyDescent="0.2">
      <c r="A450" s="106">
        <v>1100</v>
      </c>
      <c r="B450" s="107" t="s">
        <v>198</v>
      </c>
      <c r="C450" s="106">
        <v>2292</v>
      </c>
      <c r="D450" s="106">
        <v>5193</v>
      </c>
      <c r="E450" s="108">
        <v>2292000000001</v>
      </c>
      <c r="F450" s="109" t="s">
        <v>585</v>
      </c>
      <c r="G450" s="96">
        <v>1100</v>
      </c>
      <c r="I450" s="96"/>
      <c r="J450" s="96"/>
      <c r="K450" s="96"/>
      <c r="L450" s="96"/>
    </row>
    <row r="451" spans="1:12" ht="13.5" thickBot="1" x14ac:dyDescent="0.25">
      <c r="A451" s="106"/>
      <c r="B451" s="107"/>
      <c r="C451" s="106"/>
      <c r="D451" s="106"/>
      <c r="E451" s="108"/>
      <c r="F451" s="109" t="s">
        <v>503</v>
      </c>
      <c r="G451" s="96"/>
      <c r="I451" s="96"/>
      <c r="J451" s="96"/>
      <c r="K451" s="96">
        <f>4.235</f>
        <v>4.2350000000000003</v>
      </c>
      <c r="L451" s="96"/>
    </row>
    <row r="452" spans="1:12" x14ac:dyDescent="0.2">
      <c r="A452" s="110"/>
      <c r="B452" s="111" t="s">
        <v>17</v>
      </c>
      <c r="C452" s="112">
        <v>2292</v>
      </c>
      <c r="D452" s="113"/>
      <c r="E452" s="114"/>
      <c r="F452" s="115"/>
      <c r="G452" s="116">
        <f>SUM(G448:G451)</f>
        <v>2020</v>
      </c>
      <c r="I452" s="116">
        <f>SUM(I448:I451)</f>
        <v>788</v>
      </c>
      <c r="J452" s="116">
        <f>SUM(J448:J451)</f>
        <v>766.48599999999999</v>
      </c>
      <c r="K452" s="116">
        <f>SUM(K448:K451)</f>
        <v>794.34400000000005</v>
      </c>
      <c r="L452" s="116">
        <f>SUM(L448:L451)</f>
        <v>707.97500000000002</v>
      </c>
    </row>
    <row r="454" spans="1:12" x14ac:dyDescent="0.2">
      <c r="A454" s="106">
        <v>1100</v>
      </c>
      <c r="B454" s="107" t="s">
        <v>201</v>
      </c>
      <c r="C454" s="106">
        <v>2310</v>
      </c>
      <c r="D454" s="106">
        <v>5011</v>
      </c>
      <c r="E454" s="108">
        <v>2310000000001</v>
      </c>
      <c r="F454" s="109" t="s">
        <v>51</v>
      </c>
      <c r="G454" s="96">
        <v>750</v>
      </c>
      <c r="I454" s="96">
        <v>720</v>
      </c>
      <c r="J454" s="96">
        <v>544.20100000000002</v>
      </c>
      <c r="K454" s="96">
        <v>801.93700000000001</v>
      </c>
      <c r="L454" s="96">
        <v>708.90499999999997</v>
      </c>
    </row>
    <row r="455" spans="1:12" x14ac:dyDescent="0.2">
      <c r="A455" s="106">
        <v>1100</v>
      </c>
      <c r="B455" s="107" t="s">
        <v>201</v>
      </c>
      <c r="C455" s="106">
        <v>2310</v>
      </c>
      <c r="D455" s="106">
        <v>5021</v>
      </c>
      <c r="E455" s="108">
        <v>2310000000001</v>
      </c>
      <c r="F455" s="109" t="s">
        <v>202</v>
      </c>
      <c r="G455" s="96">
        <v>230</v>
      </c>
      <c r="I455" s="96">
        <v>145</v>
      </c>
      <c r="J455" s="96">
        <v>41.01</v>
      </c>
      <c r="K455" s="96">
        <v>54.468000000000004</v>
      </c>
      <c r="L455" s="96">
        <v>78.438000000000002</v>
      </c>
    </row>
    <row r="456" spans="1:12" x14ac:dyDescent="0.2">
      <c r="A456" s="106">
        <v>1100</v>
      </c>
      <c r="B456" s="107" t="s">
        <v>201</v>
      </c>
      <c r="C456" s="106">
        <v>2310</v>
      </c>
      <c r="D456" s="106">
        <v>5031</v>
      </c>
      <c r="E456" s="108">
        <v>2310000000001</v>
      </c>
      <c r="F456" s="109" t="s">
        <v>448</v>
      </c>
      <c r="G456" s="96">
        <v>188</v>
      </c>
      <c r="I456" s="96">
        <v>180</v>
      </c>
      <c r="J456" s="96">
        <v>133.179</v>
      </c>
      <c r="K456" s="96">
        <v>198.88</v>
      </c>
      <c r="L456" s="96">
        <v>173.93199999999999</v>
      </c>
    </row>
    <row r="457" spans="1:12" x14ac:dyDescent="0.2">
      <c r="A457" s="106">
        <v>1100</v>
      </c>
      <c r="B457" s="107" t="s">
        <v>201</v>
      </c>
      <c r="C457" s="106">
        <v>2310</v>
      </c>
      <c r="D457" s="106">
        <v>5032</v>
      </c>
      <c r="E457" s="108">
        <v>2310000000001</v>
      </c>
      <c r="F457" s="109" t="s">
        <v>300</v>
      </c>
      <c r="G457" s="96">
        <v>68</v>
      </c>
      <c r="I457" s="96">
        <v>65</v>
      </c>
      <c r="J457" s="96">
        <v>48.33</v>
      </c>
      <c r="K457" s="96">
        <v>72.171999999999997</v>
      </c>
      <c r="L457" s="96">
        <v>62.834000000000003</v>
      </c>
    </row>
    <row r="458" spans="1:12" x14ac:dyDescent="0.2">
      <c r="A458" s="106">
        <v>1100</v>
      </c>
      <c r="B458" s="107" t="s">
        <v>201</v>
      </c>
      <c r="C458" s="106">
        <v>2310</v>
      </c>
      <c r="D458" s="106">
        <v>5132</v>
      </c>
      <c r="E458" s="108">
        <v>2310000000001</v>
      </c>
      <c r="F458" s="109" t="s">
        <v>47</v>
      </c>
      <c r="G458" s="96">
        <v>8</v>
      </c>
      <c r="I458" s="96">
        <v>8</v>
      </c>
      <c r="J458" s="96">
        <v>0</v>
      </c>
      <c r="K458" s="96">
        <v>8</v>
      </c>
      <c r="L458" s="96">
        <v>7.8650000000000002</v>
      </c>
    </row>
    <row r="459" spans="1:12" x14ac:dyDescent="0.2">
      <c r="A459" s="106">
        <v>1100</v>
      </c>
      <c r="B459" s="107" t="s">
        <v>201</v>
      </c>
      <c r="C459" s="106">
        <v>2310</v>
      </c>
      <c r="D459" s="106">
        <v>5134</v>
      </c>
      <c r="E459" s="108">
        <v>2310000000001</v>
      </c>
      <c r="F459" s="109" t="s">
        <v>203</v>
      </c>
      <c r="G459" s="96">
        <v>20</v>
      </c>
      <c r="I459" s="96">
        <v>20</v>
      </c>
      <c r="J459" s="96">
        <v>0</v>
      </c>
      <c r="K459" s="96">
        <v>19.347999999999999</v>
      </c>
      <c r="L459" s="96">
        <v>19.832000000000001</v>
      </c>
    </row>
    <row r="460" spans="1:12" x14ac:dyDescent="0.2">
      <c r="A460" s="106">
        <v>1100</v>
      </c>
      <c r="B460" s="107" t="s">
        <v>201</v>
      </c>
      <c r="C460" s="106">
        <v>2310</v>
      </c>
      <c r="D460" s="106">
        <v>5137</v>
      </c>
      <c r="E460" s="108">
        <v>2310000000001</v>
      </c>
      <c r="F460" s="109" t="s">
        <v>182</v>
      </c>
      <c r="G460" s="96">
        <v>20</v>
      </c>
      <c r="I460" s="96">
        <v>20</v>
      </c>
      <c r="J460" s="96">
        <v>3.8889999999999998</v>
      </c>
      <c r="K460" s="96">
        <v>5.89</v>
      </c>
      <c r="L460" s="96">
        <v>22.021000000000001</v>
      </c>
    </row>
    <row r="461" spans="1:12" x14ac:dyDescent="0.2">
      <c r="A461" s="106">
        <v>1100</v>
      </c>
      <c r="B461" s="107" t="s">
        <v>201</v>
      </c>
      <c r="C461" s="106">
        <v>2310</v>
      </c>
      <c r="D461" s="106">
        <v>5139</v>
      </c>
      <c r="E461" s="108">
        <v>2310000000001</v>
      </c>
      <c r="F461" s="109" t="s">
        <v>56</v>
      </c>
      <c r="G461" s="96">
        <v>495</v>
      </c>
      <c r="I461" s="96">
        <v>495</v>
      </c>
      <c r="J461" s="96">
        <v>193.18</v>
      </c>
      <c r="K461" s="96">
        <v>241.559</v>
      </c>
      <c r="L461" s="96">
        <v>273.60500000000002</v>
      </c>
    </row>
    <row r="462" spans="1:12" x14ac:dyDescent="0.2">
      <c r="A462" s="106">
        <v>1100</v>
      </c>
      <c r="B462" s="107" t="s">
        <v>201</v>
      </c>
      <c r="C462" s="106">
        <v>2310</v>
      </c>
      <c r="D462" s="106">
        <v>5151</v>
      </c>
      <c r="E462" s="108">
        <v>2310000000001</v>
      </c>
      <c r="F462" s="109" t="s">
        <v>204</v>
      </c>
      <c r="G462" s="96">
        <v>4500</v>
      </c>
      <c r="I462" s="96">
        <v>4100</v>
      </c>
      <c r="J462" s="96">
        <v>2813.1509999999998</v>
      </c>
      <c r="K462" s="96">
        <v>3518.5239999999999</v>
      </c>
      <c r="L462" s="96">
        <v>3556.665</v>
      </c>
    </row>
    <row r="463" spans="1:12" x14ac:dyDescent="0.2">
      <c r="A463" s="106">
        <v>1100</v>
      </c>
      <c r="B463" s="107" t="s">
        <v>201</v>
      </c>
      <c r="C463" s="106">
        <v>2310</v>
      </c>
      <c r="D463" s="106">
        <v>5154</v>
      </c>
      <c r="E463" s="108">
        <v>2310000000001</v>
      </c>
      <c r="F463" s="109" t="s">
        <v>10</v>
      </c>
      <c r="G463" s="96">
        <f>2*450</f>
        <v>900</v>
      </c>
      <c r="I463" s="96">
        <v>400</v>
      </c>
      <c r="J463" s="96">
        <v>238.53</v>
      </c>
      <c r="K463" s="96">
        <v>362.82499999999999</v>
      </c>
      <c r="L463" s="96">
        <v>372.58600000000001</v>
      </c>
    </row>
    <row r="464" spans="1:12" x14ac:dyDescent="0.2">
      <c r="A464" s="106">
        <v>1100</v>
      </c>
      <c r="B464" s="107" t="s">
        <v>201</v>
      </c>
      <c r="C464" s="106">
        <v>2310</v>
      </c>
      <c r="D464" s="106">
        <v>5156</v>
      </c>
      <c r="E464" s="108">
        <v>2310000000001</v>
      </c>
      <c r="F464" s="109" t="s">
        <v>105</v>
      </c>
      <c r="G464" s="96">
        <v>30</v>
      </c>
      <c r="I464" s="96">
        <v>30</v>
      </c>
      <c r="J464" s="96">
        <v>19.077999999999999</v>
      </c>
      <c r="K464" s="96">
        <v>27.175000000000001</v>
      </c>
      <c r="L464" s="96">
        <v>29.6</v>
      </c>
    </row>
    <row r="465" spans="1:12" x14ac:dyDescent="0.2">
      <c r="A465" s="106">
        <v>1100</v>
      </c>
      <c r="B465" s="107" t="s">
        <v>201</v>
      </c>
      <c r="C465" s="106">
        <v>2310</v>
      </c>
      <c r="D465" s="106">
        <v>5161</v>
      </c>
      <c r="E465" s="108">
        <v>2310000000001</v>
      </c>
      <c r="F465" s="109" t="s">
        <v>81</v>
      </c>
      <c r="G465" s="96">
        <v>70</v>
      </c>
      <c r="I465" s="96">
        <v>50</v>
      </c>
      <c r="J465" s="96">
        <v>18.75</v>
      </c>
      <c r="K465" s="96">
        <v>25.925999999999998</v>
      </c>
      <c r="L465" s="96">
        <v>40.067999999999998</v>
      </c>
    </row>
    <row r="466" spans="1:12" x14ac:dyDescent="0.2">
      <c r="A466" s="106">
        <v>1100</v>
      </c>
      <c r="B466" s="107" t="s">
        <v>201</v>
      </c>
      <c r="C466" s="106">
        <v>2310</v>
      </c>
      <c r="D466" s="106">
        <v>5162</v>
      </c>
      <c r="E466" s="108">
        <v>2310000000001</v>
      </c>
      <c r="F466" s="109" t="s">
        <v>449</v>
      </c>
      <c r="G466" s="96">
        <v>25</v>
      </c>
      <c r="I466" s="96">
        <v>25</v>
      </c>
      <c r="J466" s="96">
        <v>11.239000000000001</v>
      </c>
      <c r="K466" s="96">
        <v>3.8809999999999998</v>
      </c>
      <c r="L466" s="96">
        <v>27.626999999999999</v>
      </c>
    </row>
    <row r="467" spans="1:12" x14ac:dyDescent="0.2">
      <c r="A467" s="106">
        <v>1100</v>
      </c>
      <c r="B467" s="107" t="s">
        <v>201</v>
      </c>
      <c r="C467" s="106">
        <v>2310</v>
      </c>
      <c r="D467" s="106">
        <v>5164</v>
      </c>
      <c r="E467" s="108">
        <v>2310000000001</v>
      </c>
      <c r="F467" s="109" t="s">
        <v>205</v>
      </c>
      <c r="G467" s="96">
        <v>50</v>
      </c>
      <c r="I467" s="96">
        <v>50</v>
      </c>
      <c r="J467" s="96">
        <v>12.39</v>
      </c>
      <c r="K467" s="96">
        <v>0</v>
      </c>
      <c r="L467" s="96">
        <v>0</v>
      </c>
    </row>
    <row r="468" spans="1:12" x14ac:dyDescent="0.2">
      <c r="A468" s="106">
        <v>1100</v>
      </c>
      <c r="B468" s="107" t="s">
        <v>201</v>
      </c>
      <c r="C468" s="106">
        <v>2310</v>
      </c>
      <c r="D468" s="106">
        <v>5166</v>
      </c>
      <c r="E468" s="108">
        <v>2310000000001</v>
      </c>
      <c r="F468" s="109" t="s">
        <v>206</v>
      </c>
      <c r="G468" s="96">
        <v>20</v>
      </c>
      <c r="I468" s="96">
        <v>20</v>
      </c>
      <c r="J468" s="96">
        <v>186.05799999999999</v>
      </c>
      <c r="K468" s="96">
        <v>0</v>
      </c>
      <c r="L468" s="96">
        <v>0</v>
      </c>
    </row>
    <row r="469" spans="1:12" x14ac:dyDescent="0.2">
      <c r="A469" s="106">
        <v>1100</v>
      </c>
      <c r="B469" s="107" t="s">
        <v>201</v>
      </c>
      <c r="C469" s="106">
        <v>2310</v>
      </c>
      <c r="D469" s="106">
        <v>5169</v>
      </c>
      <c r="E469" s="108">
        <v>2310000000001</v>
      </c>
      <c r="F469" s="109" t="s">
        <v>586</v>
      </c>
      <c r="G469" s="96">
        <v>834</v>
      </c>
      <c r="I469" s="96"/>
      <c r="J469" s="96">
        <f>60.5+484.378</f>
        <v>544.87799999999993</v>
      </c>
      <c r="K469" s="96">
        <v>726</v>
      </c>
      <c r="L469" s="96">
        <v>726</v>
      </c>
    </row>
    <row r="470" spans="1:12" x14ac:dyDescent="0.2">
      <c r="A470" s="106">
        <v>1100</v>
      </c>
      <c r="B470" s="107" t="s">
        <v>201</v>
      </c>
      <c r="C470" s="106">
        <v>2310</v>
      </c>
      <c r="D470" s="106">
        <v>5169</v>
      </c>
      <c r="E470" s="108">
        <v>2310000000001</v>
      </c>
      <c r="F470" s="109" t="s">
        <v>587</v>
      </c>
      <c r="G470" s="96">
        <v>144</v>
      </c>
      <c r="I470" s="96">
        <v>1014</v>
      </c>
      <c r="J470" s="96">
        <f>714.284-J469-J471</f>
        <v>131.24900000000008</v>
      </c>
      <c r="K470" s="96">
        <f>959.388-K469-K471</f>
        <v>173.29500000000002</v>
      </c>
      <c r="L470" s="96">
        <f>844.298-L469-L471</f>
        <v>58.006</v>
      </c>
    </row>
    <row r="471" spans="1:12" x14ac:dyDescent="0.2">
      <c r="A471" s="106">
        <v>1100</v>
      </c>
      <c r="B471" s="107" t="s">
        <v>201</v>
      </c>
      <c r="C471" s="106">
        <v>2310</v>
      </c>
      <c r="D471" s="106">
        <v>5169</v>
      </c>
      <c r="E471" s="108">
        <v>2310000000001</v>
      </c>
      <c r="F471" s="109" t="s">
        <v>588</v>
      </c>
      <c r="G471" s="96">
        <v>150</v>
      </c>
      <c r="I471" s="96"/>
      <c r="J471" s="96">
        <v>38.156999999999996</v>
      </c>
      <c r="K471" s="96">
        <f>60.093</f>
        <v>60.093000000000004</v>
      </c>
      <c r="L471" s="96">
        <v>60.292000000000002</v>
      </c>
    </row>
    <row r="472" spans="1:12" x14ac:dyDescent="0.2">
      <c r="A472" s="106">
        <v>1100</v>
      </c>
      <c r="B472" s="107" t="s">
        <v>201</v>
      </c>
      <c r="C472" s="106">
        <v>2310</v>
      </c>
      <c r="D472" s="106">
        <v>5169</v>
      </c>
      <c r="E472" s="108">
        <v>2310000000001</v>
      </c>
      <c r="F472" s="109" t="s">
        <v>658</v>
      </c>
      <c r="G472" s="96">
        <v>1500</v>
      </c>
      <c r="I472" s="96"/>
      <c r="J472" s="96"/>
      <c r="K472" s="96"/>
      <c r="L472" s="96"/>
    </row>
    <row r="473" spans="1:12" x14ac:dyDescent="0.2">
      <c r="A473" s="106">
        <v>1100</v>
      </c>
      <c r="B473" s="107" t="s">
        <v>201</v>
      </c>
      <c r="C473" s="106">
        <v>2310</v>
      </c>
      <c r="D473" s="106">
        <v>5171</v>
      </c>
      <c r="E473" s="108">
        <v>2310000000001</v>
      </c>
      <c r="F473" s="109" t="s">
        <v>13</v>
      </c>
      <c r="G473" s="96">
        <v>700</v>
      </c>
      <c r="I473" s="96">
        <f>2800-500-1000</f>
        <v>1300</v>
      </c>
      <c r="J473" s="96">
        <v>729.80100000000004</v>
      </c>
      <c r="K473" s="96">
        <f>2271.104-966.116</f>
        <v>1304.9879999999998</v>
      </c>
      <c r="L473" s="96">
        <f>1892.032-1268</f>
        <v>624.03199999999993</v>
      </c>
    </row>
    <row r="474" spans="1:12" x14ac:dyDescent="0.2">
      <c r="A474" s="106">
        <v>1100</v>
      </c>
      <c r="B474" s="107" t="s">
        <v>201</v>
      </c>
      <c r="C474" s="106">
        <v>2310</v>
      </c>
      <c r="D474" s="106">
        <v>5362</v>
      </c>
      <c r="E474" s="108">
        <v>2310000000001</v>
      </c>
      <c r="F474" s="109" t="s">
        <v>450</v>
      </c>
      <c r="G474" s="96">
        <v>472</v>
      </c>
      <c r="I474" s="96">
        <v>472</v>
      </c>
      <c r="J474" s="96">
        <v>372.50799999999998</v>
      </c>
      <c r="K474" s="96">
        <v>339.41399999999999</v>
      </c>
      <c r="L474" s="96">
        <v>0</v>
      </c>
    </row>
    <row r="475" spans="1:12" ht="13.5" thickBot="1" x14ac:dyDescent="0.25">
      <c r="A475" s="106"/>
      <c r="B475" s="107"/>
      <c r="C475" s="106"/>
      <c r="D475" s="106"/>
      <c r="E475" s="108"/>
      <c r="F475" s="109" t="s">
        <v>503</v>
      </c>
      <c r="G475" s="96"/>
      <c r="I475" s="96">
        <f>500+1000</f>
        <v>1500</v>
      </c>
      <c r="J475" s="96"/>
      <c r="K475" s="96">
        <f>1+25+966.116</f>
        <v>992.11599999999999</v>
      </c>
      <c r="L475" s="96">
        <f>19.897+1268</f>
        <v>1287.8969999999999</v>
      </c>
    </row>
    <row r="476" spans="1:12" x14ac:dyDescent="0.2">
      <c r="A476" s="110"/>
      <c r="B476" s="111" t="s">
        <v>17</v>
      </c>
      <c r="C476" s="112">
        <v>2310</v>
      </c>
      <c r="D476" s="113"/>
      <c r="E476" s="114"/>
      <c r="F476" s="115"/>
      <c r="G476" s="116">
        <f>SUM(G454:G475)</f>
        <v>11174</v>
      </c>
      <c r="I476" s="116">
        <f>SUM(I454:I475)</f>
        <v>10614</v>
      </c>
      <c r="J476" s="116">
        <f>SUM(J454:J475)</f>
        <v>6079.5779999999995</v>
      </c>
      <c r="K476" s="116">
        <f>SUM(K454:K475)</f>
        <v>8936.4910000000018</v>
      </c>
      <c r="L476" s="116">
        <f>SUM(L454:L475)</f>
        <v>8130.2050000000017</v>
      </c>
    </row>
    <row r="478" spans="1:12" x14ac:dyDescent="0.2">
      <c r="A478" s="106">
        <v>1100</v>
      </c>
      <c r="B478" s="107" t="s">
        <v>595</v>
      </c>
      <c r="C478" s="106">
        <v>2321</v>
      </c>
      <c r="D478" s="106">
        <v>5011</v>
      </c>
      <c r="E478" s="108">
        <v>2321000000001</v>
      </c>
      <c r="F478" s="109" t="s">
        <v>51</v>
      </c>
      <c r="G478" s="96">
        <v>840</v>
      </c>
      <c r="I478" s="96">
        <v>800</v>
      </c>
      <c r="J478" s="96">
        <v>578.04200000000003</v>
      </c>
      <c r="K478" s="96">
        <v>860.35199999999998</v>
      </c>
      <c r="L478" s="96">
        <v>784.36800000000005</v>
      </c>
    </row>
    <row r="479" spans="1:12" x14ac:dyDescent="0.2">
      <c r="A479" s="106">
        <v>1100</v>
      </c>
      <c r="B479" s="107" t="s">
        <v>595</v>
      </c>
      <c r="C479" s="106">
        <v>2321</v>
      </c>
      <c r="D479" s="106">
        <v>5031</v>
      </c>
      <c r="E479" s="108">
        <v>2321000000001</v>
      </c>
      <c r="F479" s="109" t="s">
        <v>143</v>
      </c>
      <c r="G479" s="96">
        <v>210</v>
      </c>
      <c r="I479" s="96">
        <v>200</v>
      </c>
      <c r="J479" s="96">
        <v>143.35599999999999</v>
      </c>
      <c r="K479" s="96">
        <v>213.36500000000001</v>
      </c>
      <c r="L479" s="96">
        <v>195.39500000000001</v>
      </c>
    </row>
    <row r="480" spans="1:12" x14ac:dyDescent="0.2">
      <c r="A480" s="106">
        <v>1100</v>
      </c>
      <c r="B480" s="107" t="s">
        <v>595</v>
      </c>
      <c r="C480" s="106">
        <v>2321</v>
      </c>
      <c r="D480" s="106">
        <v>5032</v>
      </c>
      <c r="E480" s="108">
        <v>2321000000001</v>
      </c>
      <c r="F480" s="109" t="s">
        <v>300</v>
      </c>
      <c r="G480" s="96">
        <v>76</v>
      </c>
      <c r="I480" s="96">
        <v>72</v>
      </c>
      <c r="J480" s="96">
        <v>52.023000000000003</v>
      </c>
      <c r="K480" s="96">
        <v>77.432000000000002</v>
      </c>
      <c r="L480" s="96">
        <v>70.593999999999994</v>
      </c>
    </row>
    <row r="481" spans="1:12" x14ac:dyDescent="0.2">
      <c r="A481" s="106">
        <v>1100</v>
      </c>
      <c r="B481" s="107" t="s">
        <v>595</v>
      </c>
      <c r="C481" s="106">
        <v>2321</v>
      </c>
      <c r="D481" s="106">
        <v>5132</v>
      </c>
      <c r="E481" s="108">
        <v>2321000000001</v>
      </c>
      <c r="F481" s="109" t="s">
        <v>33</v>
      </c>
      <c r="G481" s="96">
        <v>5</v>
      </c>
      <c r="I481" s="96">
        <v>5</v>
      </c>
      <c r="J481" s="96">
        <v>0</v>
      </c>
      <c r="K481" s="96">
        <v>5.5019999999999998</v>
      </c>
      <c r="L481" s="96">
        <v>4.78</v>
      </c>
    </row>
    <row r="482" spans="1:12" x14ac:dyDescent="0.2">
      <c r="A482" s="106">
        <v>1100</v>
      </c>
      <c r="B482" s="107" t="s">
        <v>595</v>
      </c>
      <c r="C482" s="106">
        <v>2321</v>
      </c>
      <c r="D482" s="106">
        <v>5139</v>
      </c>
      <c r="E482" s="108">
        <v>2321000000001</v>
      </c>
      <c r="F482" s="109" t="s">
        <v>208</v>
      </c>
      <c r="G482" s="96">
        <v>626</v>
      </c>
      <c r="I482" s="96">
        <v>626</v>
      </c>
      <c r="J482" s="96">
        <v>411.14</v>
      </c>
      <c r="K482" s="96">
        <v>489.77699999999999</v>
      </c>
      <c r="L482" s="96">
        <v>500.29599999999999</v>
      </c>
    </row>
    <row r="483" spans="1:12" x14ac:dyDescent="0.2">
      <c r="A483" s="106">
        <v>1100</v>
      </c>
      <c r="B483" s="107" t="s">
        <v>595</v>
      </c>
      <c r="C483" s="106">
        <v>2321</v>
      </c>
      <c r="D483" s="106">
        <v>5154</v>
      </c>
      <c r="E483" s="108">
        <v>2321000000001</v>
      </c>
      <c r="F483" s="109" t="s">
        <v>215</v>
      </c>
      <c r="G483" s="96">
        <f>2*2300</f>
        <v>4600</v>
      </c>
      <c r="I483" s="96">
        <v>2000</v>
      </c>
      <c r="J483" s="96">
        <v>1470.8779999999999</v>
      </c>
      <c r="K483" s="96">
        <v>1914.289</v>
      </c>
      <c r="L483" s="96">
        <v>1684.4390000000001</v>
      </c>
    </row>
    <row r="484" spans="1:12" x14ac:dyDescent="0.2">
      <c r="A484" s="106">
        <v>1100</v>
      </c>
      <c r="B484" s="107" t="s">
        <v>595</v>
      </c>
      <c r="C484" s="106">
        <v>2321</v>
      </c>
      <c r="D484" s="106">
        <v>5156</v>
      </c>
      <c r="E484" s="108">
        <v>2321000000001</v>
      </c>
      <c r="F484" s="109" t="s">
        <v>209</v>
      </c>
      <c r="G484" s="96">
        <v>50</v>
      </c>
      <c r="I484" s="96">
        <v>10</v>
      </c>
      <c r="J484" s="96">
        <v>22.024999999999999</v>
      </c>
      <c r="K484" s="96">
        <v>1.4079999999999999</v>
      </c>
      <c r="L484" s="96">
        <v>6.4880000000000004</v>
      </c>
    </row>
    <row r="485" spans="1:12" x14ac:dyDescent="0.2">
      <c r="A485" s="106">
        <v>1100</v>
      </c>
      <c r="B485" s="107" t="s">
        <v>595</v>
      </c>
      <c r="C485" s="106">
        <v>2321</v>
      </c>
      <c r="D485" s="106">
        <v>5162</v>
      </c>
      <c r="E485" s="108">
        <v>2321000000001</v>
      </c>
      <c r="F485" s="109" t="s">
        <v>106</v>
      </c>
      <c r="G485" s="96">
        <v>50</v>
      </c>
      <c r="I485" s="96">
        <v>50</v>
      </c>
      <c r="J485" s="96">
        <v>29.001000000000001</v>
      </c>
      <c r="K485" s="96">
        <v>41.768000000000001</v>
      </c>
      <c r="L485" s="96">
        <v>19.986999999999998</v>
      </c>
    </row>
    <row r="486" spans="1:12" x14ac:dyDescent="0.2">
      <c r="A486" s="106">
        <v>1100</v>
      </c>
      <c r="B486" s="107" t="s">
        <v>595</v>
      </c>
      <c r="C486" s="106">
        <v>2321</v>
      </c>
      <c r="D486" s="106">
        <v>5169</v>
      </c>
      <c r="E486" s="108">
        <v>2321000000001</v>
      </c>
      <c r="F486" s="109" t="s">
        <v>596</v>
      </c>
      <c r="G486" s="96">
        <v>1400</v>
      </c>
      <c r="I486" s="96"/>
      <c r="J486" s="96">
        <v>783.99900000000002</v>
      </c>
      <c r="K486" s="96">
        <v>1060.8320000000001</v>
      </c>
      <c r="L486" s="96">
        <v>979.53899999999999</v>
      </c>
    </row>
    <row r="487" spans="1:12" x14ac:dyDescent="0.2">
      <c r="A487" s="106">
        <v>1100</v>
      </c>
      <c r="B487" s="107" t="s">
        <v>595</v>
      </c>
      <c r="C487" s="106">
        <v>2321</v>
      </c>
      <c r="D487" s="106">
        <v>5169</v>
      </c>
      <c r="E487" s="108">
        <v>2321000000001</v>
      </c>
      <c r="F487" s="109" t="s">
        <v>586</v>
      </c>
      <c r="G487" s="96">
        <v>834</v>
      </c>
      <c r="I487" s="96"/>
      <c r="J487" s="96">
        <f>60.5+484.378</f>
        <v>544.87799999999993</v>
      </c>
      <c r="K487" s="96">
        <v>726</v>
      </c>
      <c r="L487" s="96">
        <v>726</v>
      </c>
    </row>
    <row r="488" spans="1:12" x14ac:dyDescent="0.2">
      <c r="A488" s="106">
        <v>1100</v>
      </c>
      <c r="B488" s="107" t="s">
        <v>595</v>
      </c>
      <c r="C488" s="106">
        <v>2321</v>
      </c>
      <c r="D488" s="106">
        <v>5169</v>
      </c>
      <c r="E488" s="108">
        <v>2321000000001</v>
      </c>
      <c r="F488" s="109" t="s">
        <v>597</v>
      </c>
      <c r="G488" s="96">
        <v>210</v>
      </c>
      <c r="I488" s="96"/>
      <c r="J488" s="96">
        <v>98.933999999999997</v>
      </c>
      <c r="K488" s="96">
        <f>87.902+9.869</f>
        <v>97.771000000000001</v>
      </c>
      <c r="L488" s="96">
        <f>106.202+16.833</f>
        <v>123.035</v>
      </c>
    </row>
    <row r="489" spans="1:12" x14ac:dyDescent="0.2">
      <c r="A489" s="106">
        <v>1100</v>
      </c>
      <c r="B489" s="107" t="s">
        <v>595</v>
      </c>
      <c r="C489" s="106">
        <v>2321</v>
      </c>
      <c r="D489" s="106">
        <v>5169</v>
      </c>
      <c r="E489" s="108">
        <v>2321000000001</v>
      </c>
      <c r="F489" s="109" t="s">
        <v>196</v>
      </c>
      <c r="G489" s="96">
        <v>200</v>
      </c>
      <c r="I489" s="96">
        <v>200</v>
      </c>
      <c r="J489" s="96"/>
      <c r="K489" s="96">
        <v>0</v>
      </c>
      <c r="L489" s="96"/>
    </row>
    <row r="490" spans="1:12" x14ac:dyDescent="0.2">
      <c r="A490" s="106">
        <v>1100</v>
      </c>
      <c r="B490" s="107" t="s">
        <v>595</v>
      </c>
      <c r="C490" s="106">
        <v>2321</v>
      </c>
      <c r="D490" s="106">
        <v>5169</v>
      </c>
      <c r="E490" s="108">
        <v>2321000000001</v>
      </c>
      <c r="F490" s="109" t="s">
        <v>598</v>
      </c>
      <c r="G490" s="96">
        <v>110</v>
      </c>
      <c r="I490" s="96">
        <f>2356-SUM(I486:I489,I491)</f>
        <v>2156</v>
      </c>
      <c r="J490" s="96">
        <f>2292.652-SUM(J486:J489,J491)</f>
        <v>86.414000000000215</v>
      </c>
      <c r="K490" s="96">
        <f>2055.523-SUM(K486:K489,K491)</f>
        <v>82.149000000000115</v>
      </c>
      <c r="L490" s="96">
        <f>2098.557-SUM(L486:L489,L491)</f>
        <v>72.84299999999962</v>
      </c>
    </row>
    <row r="491" spans="1:12" x14ac:dyDescent="0.2">
      <c r="A491" s="106">
        <v>1100</v>
      </c>
      <c r="B491" s="107" t="s">
        <v>595</v>
      </c>
      <c r="C491" s="106">
        <v>2321</v>
      </c>
      <c r="D491" s="106">
        <v>5169</v>
      </c>
      <c r="E491" s="108">
        <v>2321000000001</v>
      </c>
      <c r="F491" s="109" t="s">
        <v>599</v>
      </c>
      <c r="G491" s="96">
        <v>950</v>
      </c>
      <c r="I491" s="96"/>
      <c r="J491" s="96">
        <f>212.737+100.207+83.211+360.492+21.78</f>
        <v>778.42699999999991</v>
      </c>
      <c r="K491" s="96">
        <f>63.009+4.54+3.2+18.022</f>
        <v>88.771000000000015</v>
      </c>
      <c r="L491" s="96">
        <f>72.286+2.668+56.511+52.003+13.672</f>
        <v>197.14000000000001</v>
      </c>
    </row>
    <row r="492" spans="1:12" x14ac:dyDescent="0.2">
      <c r="A492" s="106">
        <v>1100</v>
      </c>
      <c r="B492" s="107" t="s">
        <v>595</v>
      </c>
      <c r="C492" s="106">
        <v>2321</v>
      </c>
      <c r="D492" s="106">
        <v>5171</v>
      </c>
      <c r="E492" s="108">
        <v>2321000000001</v>
      </c>
      <c r="F492" s="109" t="s">
        <v>118</v>
      </c>
      <c r="G492" s="96">
        <v>700</v>
      </c>
      <c r="I492" s="96">
        <v>500</v>
      </c>
      <c r="J492" s="96">
        <v>557.38</v>
      </c>
      <c r="K492" s="96">
        <v>413.03100000000001</v>
      </c>
      <c r="L492" s="96">
        <v>388.09399999999999</v>
      </c>
    </row>
    <row r="493" spans="1:12" x14ac:dyDescent="0.2">
      <c r="A493" s="106">
        <v>1100</v>
      </c>
      <c r="B493" s="107" t="s">
        <v>595</v>
      </c>
      <c r="C493" s="106">
        <v>2321</v>
      </c>
      <c r="D493" s="106">
        <v>5362</v>
      </c>
      <c r="E493" s="108">
        <v>2321000000001</v>
      </c>
      <c r="F493" s="109" t="s">
        <v>452</v>
      </c>
      <c r="G493" s="96">
        <v>50</v>
      </c>
      <c r="I493" s="96">
        <v>45</v>
      </c>
      <c r="J493" s="96">
        <v>49.643999999999998</v>
      </c>
      <c r="K493" s="96">
        <v>43.197000000000003</v>
      </c>
      <c r="L493" s="96">
        <v>0</v>
      </c>
    </row>
    <row r="494" spans="1:12" ht="13.5" thickBot="1" x14ac:dyDescent="0.25">
      <c r="A494" s="106"/>
      <c r="B494" s="107"/>
      <c r="C494" s="106"/>
      <c r="D494" s="106"/>
      <c r="E494" s="108"/>
      <c r="F494" s="109" t="s">
        <v>503</v>
      </c>
      <c r="G494" s="96"/>
      <c r="I494" s="96"/>
      <c r="J494" s="96">
        <f>10.35</f>
        <v>10.35</v>
      </c>
      <c r="K494" s="96"/>
      <c r="L494" s="96">
        <f>40</f>
        <v>40</v>
      </c>
    </row>
    <row r="495" spans="1:12" x14ac:dyDescent="0.2">
      <c r="A495" s="110"/>
      <c r="B495" s="111" t="s">
        <v>17</v>
      </c>
      <c r="C495" s="112">
        <v>2321</v>
      </c>
      <c r="D495" s="113"/>
      <c r="E495" s="114"/>
      <c r="F495" s="115"/>
      <c r="G495" s="116">
        <f>SUM(G478:G494)</f>
        <v>10911</v>
      </c>
      <c r="I495" s="116">
        <f>SUM(I478:I494)</f>
        <v>6664</v>
      </c>
      <c r="J495" s="116">
        <f>SUM(J478:J494)</f>
        <v>5616.4910000000009</v>
      </c>
      <c r="K495" s="116">
        <f>SUM(K478:K494)</f>
        <v>6115.6440000000002</v>
      </c>
      <c r="L495" s="116">
        <f>SUM(L478:L494)</f>
        <v>5792.9980000000005</v>
      </c>
    </row>
    <row r="497" spans="1:12" x14ac:dyDescent="0.2">
      <c r="A497" s="106">
        <v>1100</v>
      </c>
      <c r="B497" s="107" t="s">
        <v>211</v>
      </c>
      <c r="C497" s="106">
        <v>3111</v>
      </c>
      <c r="D497" s="106">
        <v>5169</v>
      </c>
      <c r="E497" s="108">
        <v>983</v>
      </c>
      <c r="F497" s="109" t="s">
        <v>454</v>
      </c>
      <c r="G497" s="96">
        <v>0</v>
      </c>
      <c r="I497" s="96"/>
      <c r="J497" s="96"/>
      <c r="K497" s="96">
        <v>129.65799999999999</v>
      </c>
      <c r="L497" s="96"/>
    </row>
    <row r="498" spans="1:12" x14ac:dyDescent="0.2">
      <c r="A498" s="106">
        <v>1100</v>
      </c>
      <c r="B498" s="107" t="s">
        <v>211</v>
      </c>
      <c r="C498" s="106">
        <v>3111</v>
      </c>
      <c r="D498" s="106">
        <v>5171</v>
      </c>
      <c r="E498" s="108">
        <v>983</v>
      </c>
      <c r="F498" s="109" t="s">
        <v>656</v>
      </c>
      <c r="G498" s="96">
        <v>450</v>
      </c>
      <c r="I498" s="96"/>
      <c r="J498" s="96"/>
      <c r="K498" s="96"/>
      <c r="L498" s="96"/>
    </row>
    <row r="499" spans="1:12" ht="13.5" thickBot="1" x14ac:dyDescent="0.25">
      <c r="A499" s="106"/>
      <c r="B499" s="107"/>
      <c r="C499" s="106"/>
      <c r="D499" s="106"/>
      <c r="E499" s="108"/>
      <c r="F499" s="109" t="s">
        <v>503</v>
      </c>
      <c r="G499" s="96"/>
      <c r="I499" s="96"/>
      <c r="J499" s="96">
        <f>7.26</f>
        <v>7.26</v>
      </c>
      <c r="K499" s="96"/>
      <c r="L499" s="96">
        <f>225.301+84.221</f>
        <v>309.52199999999999</v>
      </c>
    </row>
    <row r="500" spans="1:12" x14ac:dyDescent="0.2">
      <c r="A500" s="110"/>
      <c r="B500" s="111" t="s">
        <v>17</v>
      </c>
      <c r="C500" s="112">
        <v>3111</v>
      </c>
      <c r="D500" s="113"/>
      <c r="E500" s="114"/>
      <c r="F500" s="115"/>
      <c r="G500" s="116">
        <f>SUM(G497:G499)</f>
        <v>450</v>
      </c>
      <c r="I500" s="116">
        <f>SUM(I497:I499)</f>
        <v>0</v>
      </c>
      <c r="J500" s="116">
        <f>SUM(J497:J499)</f>
        <v>7.26</v>
      </c>
      <c r="K500" s="116">
        <f>SUM(K497:K499)</f>
        <v>129.65799999999999</v>
      </c>
      <c r="L500" s="116">
        <f>SUM(L497:L499)</f>
        <v>309.52199999999999</v>
      </c>
    </row>
    <row r="502" spans="1:12" x14ac:dyDescent="0.2">
      <c r="A502" s="106">
        <v>1100</v>
      </c>
      <c r="B502" s="107" t="s">
        <v>212</v>
      </c>
      <c r="C502" s="106">
        <v>3113</v>
      </c>
      <c r="D502" s="106">
        <v>5021</v>
      </c>
      <c r="E502" s="108">
        <v>959</v>
      </c>
      <c r="F502" s="109" t="s">
        <v>181</v>
      </c>
      <c r="G502" s="96">
        <v>40</v>
      </c>
      <c r="I502" s="96">
        <v>40</v>
      </c>
      <c r="J502" s="96">
        <v>6.2729999999999997</v>
      </c>
      <c r="K502" s="96">
        <v>15.2</v>
      </c>
      <c r="L502" s="96">
        <v>43.99</v>
      </c>
    </row>
    <row r="503" spans="1:12" x14ac:dyDescent="0.2">
      <c r="A503" s="106">
        <v>1100</v>
      </c>
      <c r="B503" s="107" t="s">
        <v>212</v>
      </c>
      <c r="C503" s="106">
        <v>3113</v>
      </c>
      <c r="D503" s="106">
        <v>5137</v>
      </c>
      <c r="E503" s="108">
        <v>959</v>
      </c>
      <c r="F503" s="109" t="s">
        <v>602</v>
      </c>
      <c r="G503" s="96">
        <v>30</v>
      </c>
      <c r="I503" s="96">
        <v>30</v>
      </c>
      <c r="J503" s="96">
        <v>32.338000000000001</v>
      </c>
      <c r="K503" s="96">
        <v>0</v>
      </c>
      <c r="L503" s="96">
        <v>0</v>
      </c>
    </row>
    <row r="504" spans="1:12" x14ac:dyDescent="0.2">
      <c r="A504" s="106">
        <v>1100</v>
      </c>
      <c r="B504" s="107" t="s">
        <v>212</v>
      </c>
      <c r="C504" s="106">
        <v>3113</v>
      </c>
      <c r="D504" s="106">
        <v>5139</v>
      </c>
      <c r="E504" s="108">
        <v>959</v>
      </c>
      <c r="F504" s="109" t="s">
        <v>56</v>
      </c>
      <c r="G504" s="96">
        <v>40</v>
      </c>
      <c r="I504" s="96">
        <v>50</v>
      </c>
      <c r="J504" s="96">
        <v>1.3640000000000001</v>
      </c>
      <c r="K504" s="96">
        <v>1.087</v>
      </c>
      <c r="L504" s="96">
        <v>115.554</v>
      </c>
    </row>
    <row r="505" spans="1:12" x14ac:dyDescent="0.2">
      <c r="A505" s="106">
        <v>1100</v>
      </c>
      <c r="B505" s="107" t="s">
        <v>212</v>
      </c>
      <c r="C505" s="106">
        <v>3113</v>
      </c>
      <c r="D505" s="106">
        <v>5154</v>
      </c>
      <c r="E505" s="108">
        <v>959</v>
      </c>
      <c r="F505" s="109" t="s">
        <v>215</v>
      </c>
      <c r="G505" s="96">
        <f>2*70</f>
        <v>140</v>
      </c>
      <c r="I505" s="96">
        <v>70</v>
      </c>
      <c r="J505" s="96">
        <v>36.356999999999999</v>
      </c>
      <c r="K505" s="96">
        <v>44.176000000000002</v>
      </c>
      <c r="L505" s="96">
        <v>10</v>
      </c>
    </row>
    <row r="506" spans="1:12" x14ac:dyDescent="0.2">
      <c r="A506" s="106">
        <v>1100</v>
      </c>
      <c r="B506" s="107" t="s">
        <v>212</v>
      </c>
      <c r="C506" s="106">
        <v>3113</v>
      </c>
      <c r="D506" s="106">
        <v>5169</v>
      </c>
      <c r="E506" s="108">
        <v>959</v>
      </c>
      <c r="F506" s="109" t="s">
        <v>216</v>
      </c>
      <c r="G506" s="96">
        <v>293</v>
      </c>
      <c r="I506" s="96">
        <v>293</v>
      </c>
      <c r="J506" s="96">
        <v>125.714</v>
      </c>
      <c r="K506" s="96">
        <v>143.16399999999999</v>
      </c>
      <c r="L506" s="96">
        <v>199.578</v>
      </c>
    </row>
    <row r="507" spans="1:12" x14ac:dyDescent="0.2">
      <c r="A507" s="106">
        <v>1100</v>
      </c>
      <c r="B507" s="107" t="s">
        <v>212</v>
      </c>
      <c r="C507" s="106">
        <v>3113</v>
      </c>
      <c r="D507" s="106">
        <v>5171</v>
      </c>
      <c r="E507" s="108">
        <v>959</v>
      </c>
      <c r="F507" s="109" t="s">
        <v>118</v>
      </c>
      <c r="G507" s="96">
        <v>130</v>
      </c>
      <c r="I507" s="96">
        <v>120</v>
      </c>
      <c r="J507" s="96">
        <v>7.1379999999999999</v>
      </c>
      <c r="K507" s="96">
        <v>80.584000000000003</v>
      </c>
      <c r="L507" s="96">
        <v>44.838999999999999</v>
      </c>
    </row>
    <row r="508" spans="1:12" ht="13.5" thickBot="1" x14ac:dyDescent="0.25">
      <c r="A508" s="106"/>
      <c r="B508" s="107"/>
      <c r="C508" s="106"/>
      <c r="D508" s="106"/>
      <c r="E508" s="108"/>
      <c r="F508" s="109" t="s">
        <v>503</v>
      </c>
      <c r="G508" s="96"/>
      <c r="I508" s="96"/>
      <c r="J508" s="96"/>
      <c r="K508" s="96">
        <f>20.657</f>
        <v>20.657</v>
      </c>
      <c r="L508" s="96"/>
    </row>
    <row r="509" spans="1:12" x14ac:dyDescent="0.2">
      <c r="A509" s="110"/>
      <c r="B509" s="111" t="s">
        <v>17</v>
      </c>
      <c r="C509" s="112">
        <v>3113</v>
      </c>
      <c r="D509" s="113"/>
      <c r="E509" s="114"/>
      <c r="F509" s="115"/>
      <c r="G509" s="116">
        <f>SUM(G502:G508)</f>
        <v>673</v>
      </c>
      <c r="I509" s="116">
        <f>SUM(I502:I508)</f>
        <v>603</v>
      </c>
      <c r="J509" s="116">
        <f>SUM(J502:J508)</f>
        <v>209.184</v>
      </c>
      <c r="K509" s="116">
        <f>SUM(K502:K508)</f>
        <v>304.86799999999999</v>
      </c>
      <c r="L509" s="116">
        <f>SUM(L502:L508)</f>
        <v>413.96100000000001</v>
      </c>
    </row>
    <row r="510" spans="1:12" x14ac:dyDescent="0.2">
      <c r="A510" s="106"/>
      <c r="B510" s="107"/>
      <c r="C510" s="106"/>
      <c r="D510" s="106"/>
      <c r="E510" s="108"/>
      <c r="F510" s="109"/>
      <c r="G510" s="96"/>
      <c r="I510" s="96"/>
      <c r="J510" s="96"/>
      <c r="K510" s="96"/>
      <c r="L510" s="96"/>
    </row>
    <row r="511" spans="1:12" x14ac:dyDescent="0.2">
      <c r="A511" s="106">
        <v>1100</v>
      </c>
      <c r="B511" s="107" t="s">
        <v>142</v>
      </c>
      <c r="C511" s="106">
        <v>3113</v>
      </c>
      <c r="D511" s="106">
        <v>5041</v>
      </c>
      <c r="E511" s="108">
        <v>919</v>
      </c>
      <c r="F511" s="109" t="s">
        <v>213</v>
      </c>
      <c r="G511" s="96">
        <v>0</v>
      </c>
      <c r="I511" s="96">
        <v>390</v>
      </c>
      <c r="J511" s="96">
        <v>0</v>
      </c>
      <c r="K511" s="96">
        <v>0</v>
      </c>
      <c r="L511" s="96">
        <v>4.5</v>
      </c>
    </row>
    <row r="512" spans="1:12" x14ac:dyDescent="0.2">
      <c r="A512" s="106">
        <v>1100</v>
      </c>
      <c r="B512" s="107" t="s">
        <v>142</v>
      </c>
      <c r="C512" s="106">
        <v>3113</v>
      </c>
      <c r="D512" s="106">
        <v>5137</v>
      </c>
      <c r="E512" s="108">
        <v>919</v>
      </c>
      <c r="F512" s="109" t="s">
        <v>34</v>
      </c>
      <c r="G512" s="96">
        <v>110</v>
      </c>
      <c r="I512" s="96">
        <v>100</v>
      </c>
      <c r="J512" s="96">
        <v>0</v>
      </c>
      <c r="K512" s="96">
        <v>16.408999999999999</v>
      </c>
      <c r="L512" s="96">
        <v>17.189</v>
      </c>
    </row>
    <row r="513" spans="1:12" x14ac:dyDescent="0.2">
      <c r="A513" s="106">
        <v>1100</v>
      </c>
      <c r="B513" s="107" t="s">
        <v>142</v>
      </c>
      <c r="C513" s="106">
        <v>3113</v>
      </c>
      <c r="D513" s="106">
        <v>5139</v>
      </c>
      <c r="E513" s="108">
        <v>919</v>
      </c>
      <c r="F513" s="109" t="s">
        <v>56</v>
      </c>
      <c r="G513" s="96">
        <v>60</v>
      </c>
      <c r="I513" s="96">
        <v>90</v>
      </c>
      <c r="J513" s="96">
        <v>81.564999999999998</v>
      </c>
      <c r="K513" s="96">
        <v>375.37400000000002</v>
      </c>
      <c r="L513" s="96">
        <v>88.56</v>
      </c>
    </row>
    <row r="514" spans="1:12" x14ac:dyDescent="0.2">
      <c r="A514" s="106">
        <v>1100</v>
      </c>
      <c r="B514" s="107" t="s">
        <v>142</v>
      </c>
      <c r="C514" s="106">
        <v>3113</v>
      </c>
      <c r="D514" s="106">
        <v>5162</v>
      </c>
      <c r="E514" s="108">
        <v>919</v>
      </c>
      <c r="F514" s="109" t="s">
        <v>106</v>
      </c>
      <c r="G514" s="96">
        <v>12</v>
      </c>
      <c r="I514" s="96"/>
      <c r="J514" s="96"/>
      <c r="K514" s="96"/>
      <c r="L514" s="96"/>
    </row>
    <row r="515" spans="1:12" x14ac:dyDescent="0.2">
      <c r="A515" s="106">
        <v>1100</v>
      </c>
      <c r="B515" s="107" t="s">
        <v>142</v>
      </c>
      <c r="C515" s="106">
        <v>3113</v>
      </c>
      <c r="D515" s="106">
        <v>5021</v>
      </c>
      <c r="E515" s="108">
        <v>919</v>
      </c>
      <c r="F515" s="109" t="s">
        <v>657</v>
      </c>
      <c r="G515" s="96">
        <v>80</v>
      </c>
      <c r="I515" s="96"/>
      <c r="J515" s="96"/>
      <c r="K515" s="96"/>
      <c r="L515" s="96"/>
    </row>
    <row r="516" spans="1:12" x14ac:dyDescent="0.2">
      <c r="A516" s="106">
        <v>1100</v>
      </c>
      <c r="B516" s="107" t="s">
        <v>142</v>
      </c>
      <c r="C516" s="106">
        <v>3113</v>
      </c>
      <c r="D516" s="106">
        <v>5169</v>
      </c>
      <c r="E516" s="108">
        <v>919</v>
      </c>
      <c r="F516" s="109" t="s">
        <v>603</v>
      </c>
      <c r="G516" s="96">
        <v>100</v>
      </c>
      <c r="I516" s="96"/>
      <c r="J516" s="96"/>
      <c r="K516" s="96"/>
      <c r="L516" s="96"/>
    </row>
    <row r="517" spans="1:12" x14ac:dyDescent="0.2">
      <c r="A517" s="106">
        <v>1100</v>
      </c>
      <c r="B517" s="107" t="s">
        <v>142</v>
      </c>
      <c r="C517" s="106">
        <v>3113</v>
      </c>
      <c r="D517" s="106">
        <v>5169</v>
      </c>
      <c r="E517" s="108">
        <v>919</v>
      </c>
      <c r="F517" s="109" t="s">
        <v>604</v>
      </c>
      <c r="G517" s="96">
        <v>100</v>
      </c>
      <c r="I517" s="96">
        <v>1000</v>
      </c>
      <c r="J517" s="96"/>
      <c r="K517" s="96"/>
      <c r="L517" s="96"/>
    </row>
    <row r="518" spans="1:12" x14ac:dyDescent="0.2">
      <c r="A518" s="106">
        <v>1100</v>
      </c>
      <c r="B518" s="107" t="s">
        <v>142</v>
      </c>
      <c r="C518" s="106">
        <v>3113</v>
      </c>
      <c r="D518" s="106">
        <v>5169</v>
      </c>
      <c r="E518" s="108">
        <v>919</v>
      </c>
      <c r="F518" s="109" t="s">
        <v>605</v>
      </c>
      <c r="G518" s="96">
        <v>50</v>
      </c>
      <c r="I518" s="96"/>
      <c r="J518" s="96">
        <f>424.544-SUM(J519:J521)</f>
        <v>31.134999999999991</v>
      </c>
      <c r="K518" s="96">
        <f>716.781-SUM(K519:K521)</f>
        <v>24.562999999999988</v>
      </c>
      <c r="L518" s="96">
        <f>870.692-SUM(L519:L521)+14.52</f>
        <v>57.000999999999991</v>
      </c>
    </row>
    <row r="519" spans="1:12" x14ac:dyDescent="0.2">
      <c r="A519" s="106">
        <v>1100</v>
      </c>
      <c r="B519" s="107" t="s">
        <v>142</v>
      </c>
      <c r="C519" s="106">
        <v>3113</v>
      </c>
      <c r="D519" s="106">
        <v>5169</v>
      </c>
      <c r="E519" s="108">
        <v>919</v>
      </c>
      <c r="F519" s="109" t="s">
        <v>606</v>
      </c>
      <c r="G519" s="96">
        <v>168</v>
      </c>
      <c r="I519" s="96"/>
      <c r="J519" s="96">
        <v>84.66</v>
      </c>
      <c r="K519" s="96">
        <f>110.22+15.92</f>
        <v>126.14</v>
      </c>
      <c r="L519" s="96">
        <f>67.68+105.7+5.4</f>
        <v>178.78</v>
      </c>
    </row>
    <row r="520" spans="1:12" x14ac:dyDescent="0.2">
      <c r="A520" s="106">
        <v>1100</v>
      </c>
      <c r="B520" s="107" t="s">
        <v>142</v>
      </c>
      <c r="C520" s="106">
        <v>3113</v>
      </c>
      <c r="D520" s="106">
        <v>5169</v>
      </c>
      <c r="E520" s="108">
        <v>919</v>
      </c>
      <c r="F520" s="109" t="s">
        <v>607</v>
      </c>
      <c r="G520" s="96">
        <v>240</v>
      </c>
      <c r="I520" s="96"/>
      <c r="J520" s="96">
        <v>100</v>
      </c>
      <c r="K520" s="96">
        <v>170</v>
      </c>
      <c r="L520" s="96">
        <f>140+80</f>
        <v>220</v>
      </c>
    </row>
    <row r="521" spans="1:12" x14ac:dyDescent="0.2">
      <c r="A521" s="106">
        <v>1100</v>
      </c>
      <c r="B521" s="107" t="s">
        <v>142</v>
      </c>
      <c r="C521" s="106">
        <v>3113</v>
      </c>
      <c r="D521" s="106">
        <v>5169</v>
      </c>
      <c r="E521" s="108">
        <v>919</v>
      </c>
      <c r="F521" s="109" t="s">
        <v>608</v>
      </c>
      <c r="G521" s="96">
        <v>430</v>
      </c>
      <c r="I521" s="96"/>
      <c r="J521" s="96">
        <v>208.749</v>
      </c>
      <c r="K521" s="96">
        <v>396.07799999999997</v>
      </c>
      <c r="L521" s="96">
        <v>429.43099999999998</v>
      </c>
    </row>
    <row r="522" spans="1:12" x14ac:dyDescent="0.2">
      <c r="A522" s="106">
        <v>1100</v>
      </c>
      <c r="B522" s="107" t="s">
        <v>142</v>
      </c>
      <c r="C522" s="106">
        <v>3113</v>
      </c>
      <c r="D522" s="106">
        <v>5171</v>
      </c>
      <c r="E522" s="108">
        <v>919</v>
      </c>
      <c r="F522" s="109" t="s">
        <v>108</v>
      </c>
      <c r="G522" s="96">
        <v>132</v>
      </c>
      <c r="I522" s="96">
        <v>132</v>
      </c>
      <c r="J522" s="96">
        <v>42.889000000000003</v>
      </c>
      <c r="K522" s="96">
        <v>342.30599999999998</v>
      </c>
      <c r="L522" s="96">
        <v>226.40199999999999</v>
      </c>
    </row>
    <row r="523" spans="1:12" ht="13.5" thickBot="1" x14ac:dyDescent="0.25">
      <c r="A523" s="106"/>
      <c r="B523" s="107"/>
      <c r="C523" s="106"/>
      <c r="D523" s="106"/>
      <c r="E523" s="108"/>
      <c r="F523" s="109" t="s">
        <v>503</v>
      </c>
      <c r="G523" s="96"/>
      <c r="I523" s="96"/>
      <c r="J523" s="96"/>
      <c r="K523" s="96"/>
      <c r="L523" s="96">
        <f>0.5</f>
        <v>0.5</v>
      </c>
    </row>
    <row r="524" spans="1:12" x14ac:dyDescent="0.2">
      <c r="A524" s="110"/>
      <c r="B524" s="111" t="s">
        <v>17</v>
      </c>
      <c r="C524" s="112">
        <v>3113</v>
      </c>
      <c r="D524" s="113"/>
      <c r="E524" s="114"/>
      <c r="F524" s="115"/>
      <c r="G524" s="116">
        <f t="shared" ref="G524:L524" si="0">SUM(G511:G523)</f>
        <v>1482</v>
      </c>
      <c r="I524" s="116">
        <f t="shared" si="0"/>
        <v>1712</v>
      </c>
      <c r="J524" s="116">
        <f t="shared" si="0"/>
        <v>548.99800000000005</v>
      </c>
      <c r="K524" s="116">
        <f t="shared" si="0"/>
        <v>1450.87</v>
      </c>
      <c r="L524" s="116">
        <f t="shared" si="0"/>
        <v>1222.3630000000001</v>
      </c>
    </row>
    <row r="526" spans="1:12" x14ac:dyDescent="0.2">
      <c r="A526" s="106">
        <v>1100</v>
      </c>
      <c r="B526" s="107" t="s">
        <v>455</v>
      </c>
      <c r="C526" s="106">
        <v>3113</v>
      </c>
      <c r="D526" s="106">
        <v>5166</v>
      </c>
      <c r="E526" s="108">
        <v>986</v>
      </c>
      <c r="F526" s="109" t="s">
        <v>456</v>
      </c>
      <c r="G526" s="96">
        <v>15</v>
      </c>
      <c r="I526" s="96">
        <v>15</v>
      </c>
      <c r="J526" s="96">
        <v>0</v>
      </c>
      <c r="K526" s="96">
        <v>6.05</v>
      </c>
      <c r="L526" s="96">
        <v>14.52</v>
      </c>
    </row>
    <row r="527" spans="1:12" ht="13.5" thickBot="1" x14ac:dyDescent="0.25">
      <c r="A527" s="106"/>
      <c r="B527" s="107"/>
      <c r="C527" s="106"/>
      <c r="D527" s="106"/>
      <c r="E527" s="108"/>
      <c r="F527" s="109" t="s">
        <v>503</v>
      </c>
      <c r="G527" s="96"/>
      <c r="I527" s="96"/>
      <c r="J527" s="96">
        <f>9.099</f>
        <v>9.0990000000000002</v>
      </c>
      <c r="K527" s="96"/>
      <c r="L527" s="96">
        <f>752.701</f>
        <v>752.70100000000002</v>
      </c>
    </row>
    <row r="528" spans="1:12" x14ac:dyDescent="0.2">
      <c r="A528" s="110"/>
      <c r="B528" s="111" t="s">
        <v>17</v>
      </c>
      <c r="C528" s="112">
        <v>3113</v>
      </c>
      <c r="D528" s="113"/>
      <c r="E528" s="114"/>
      <c r="F528" s="115"/>
      <c r="G528" s="116">
        <f>SUM(G526:G527)</f>
        <v>15</v>
      </c>
      <c r="I528" s="116">
        <f>SUM(I526:I527)</f>
        <v>15</v>
      </c>
      <c r="J528" s="116">
        <f>SUM(J526:J527)</f>
        <v>9.0990000000000002</v>
      </c>
      <c r="K528" s="116">
        <f>SUM(K526:K527)</f>
        <v>6.05</v>
      </c>
      <c r="L528" s="116">
        <f>SUM(L526:L527)</f>
        <v>767.221</v>
      </c>
    </row>
    <row r="530" spans="1:12" x14ac:dyDescent="0.2">
      <c r="A530" s="106">
        <v>1100</v>
      </c>
      <c r="B530" s="107" t="s">
        <v>218</v>
      </c>
      <c r="C530" s="106">
        <v>3392</v>
      </c>
      <c r="D530" s="106">
        <v>5137</v>
      </c>
      <c r="E530" s="108">
        <v>889</v>
      </c>
      <c r="F530" s="109" t="s">
        <v>219</v>
      </c>
      <c r="G530" s="96">
        <v>10</v>
      </c>
      <c r="I530" s="96">
        <v>20</v>
      </c>
      <c r="J530" s="96">
        <v>0</v>
      </c>
      <c r="K530" s="96">
        <v>55.618000000000002</v>
      </c>
      <c r="L530" s="96">
        <v>23.962</v>
      </c>
    </row>
    <row r="531" spans="1:12" x14ac:dyDescent="0.2">
      <c r="A531" s="106">
        <v>1100</v>
      </c>
      <c r="B531" s="107" t="s">
        <v>218</v>
      </c>
      <c r="C531" s="106">
        <v>3392</v>
      </c>
      <c r="D531" s="106">
        <v>5139</v>
      </c>
      <c r="E531" s="108">
        <v>889</v>
      </c>
      <c r="F531" s="109" t="s">
        <v>56</v>
      </c>
      <c r="G531" s="96">
        <v>65</v>
      </c>
      <c r="I531" s="96">
        <v>100</v>
      </c>
      <c r="J531" s="96">
        <v>0.60899999999999999</v>
      </c>
      <c r="K531" s="96">
        <v>51.040999999999997</v>
      </c>
      <c r="L531" s="96">
        <v>21.995999999999999</v>
      </c>
    </row>
    <row r="532" spans="1:12" x14ac:dyDescent="0.2">
      <c r="A532" s="106">
        <v>1100</v>
      </c>
      <c r="B532" s="107" t="s">
        <v>218</v>
      </c>
      <c r="C532" s="106">
        <v>3392</v>
      </c>
      <c r="D532" s="106">
        <v>5151</v>
      </c>
      <c r="E532" s="108">
        <v>889</v>
      </c>
      <c r="F532" s="109" t="s">
        <v>102</v>
      </c>
      <c r="G532" s="96">
        <v>28</v>
      </c>
      <c r="I532" s="96">
        <v>28</v>
      </c>
      <c r="J532" s="96">
        <v>18</v>
      </c>
      <c r="K532" s="96">
        <v>24</v>
      </c>
      <c r="L532" s="96">
        <v>24</v>
      </c>
    </row>
    <row r="533" spans="1:12" x14ac:dyDescent="0.2">
      <c r="A533" s="106">
        <v>1100</v>
      </c>
      <c r="B533" s="107" t="s">
        <v>218</v>
      </c>
      <c r="C533" s="106">
        <v>3392</v>
      </c>
      <c r="D533" s="106">
        <v>5152</v>
      </c>
      <c r="E533" s="108">
        <v>889</v>
      </c>
      <c r="F533" s="109" t="s">
        <v>103</v>
      </c>
      <c r="G533" s="96">
        <v>40</v>
      </c>
      <c r="I533" s="96">
        <v>40</v>
      </c>
      <c r="J533" s="96">
        <v>27.161000000000001</v>
      </c>
      <c r="K533" s="96">
        <v>35.823</v>
      </c>
      <c r="L533" s="96">
        <v>33.6</v>
      </c>
    </row>
    <row r="534" spans="1:12" x14ac:dyDescent="0.2">
      <c r="A534" s="106">
        <v>1100</v>
      </c>
      <c r="B534" s="107" t="s">
        <v>218</v>
      </c>
      <c r="C534" s="106">
        <v>3392</v>
      </c>
      <c r="D534" s="106">
        <v>5154</v>
      </c>
      <c r="E534" s="108">
        <v>889</v>
      </c>
      <c r="F534" s="109" t="s">
        <v>104</v>
      </c>
      <c r="G534" s="96">
        <f>2*40</f>
        <v>80</v>
      </c>
      <c r="I534" s="96">
        <v>40</v>
      </c>
      <c r="J534" s="96">
        <v>11.574</v>
      </c>
      <c r="K534" s="96">
        <v>42.741</v>
      </c>
      <c r="L534" s="96">
        <v>28.016999999999999</v>
      </c>
    </row>
    <row r="535" spans="1:12" x14ac:dyDescent="0.2">
      <c r="A535" s="106">
        <v>1100</v>
      </c>
      <c r="B535" s="107" t="s">
        <v>218</v>
      </c>
      <c r="C535" s="106">
        <v>3392</v>
      </c>
      <c r="D535" s="106">
        <v>5169</v>
      </c>
      <c r="E535" s="108">
        <v>889</v>
      </c>
      <c r="F535" s="109" t="s">
        <v>460</v>
      </c>
      <c r="G535" s="96">
        <v>250</v>
      </c>
      <c r="I535" s="96">
        <v>205</v>
      </c>
      <c r="J535" s="96">
        <v>125.39100000000001</v>
      </c>
      <c r="K535" s="96">
        <v>202.34899999999999</v>
      </c>
      <c r="L535" s="96">
        <v>166.67500000000001</v>
      </c>
    </row>
    <row r="536" spans="1:12" x14ac:dyDescent="0.2">
      <c r="A536" s="106">
        <v>1100</v>
      </c>
      <c r="B536" s="107" t="s">
        <v>218</v>
      </c>
      <c r="C536" s="106">
        <v>3392</v>
      </c>
      <c r="D536" s="106">
        <v>5171</v>
      </c>
      <c r="E536" s="108">
        <v>889</v>
      </c>
      <c r="F536" s="109" t="s">
        <v>118</v>
      </c>
      <c r="G536" s="96">
        <v>40</v>
      </c>
      <c r="I536" s="96">
        <v>20</v>
      </c>
      <c r="J536" s="96">
        <v>18.558</v>
      </c>
      <c r="K536" s="96">
        <v>0</v>
      </c>
      <c r="L536" s="96">
        <v>3.8570000000000002</v>
      </c>
    </row>
    <row r="537" spans="1:12" x14ac:dyDescent="0.2">
      <c r="A537" s="106">
        <v>1100</v>
      </c>
      <c r="B537" s="107" t="s">
        <v>218</v>
      </c>
      <c r="C537" s="106">
        <v>3392</v>
      </c>
      <c r="D537" s="106">
        <v>5199</v>
      </c>
      <c r="E537" s="108">
        <v>889</v>
      </c>
      <c r="F537" s="109" t="s">
        <v>220</v>
      </c>
      <c r="G537" s="96">
        <v>14</v>
      </c>
      <c r="I537" s="96">
        <v>14</v>
      </c>
      <c r="J537" s="96">
        <v>9.5310000000000006</v>
      </c>
      <c r="K537" s="96">
        <v>12.708</v>
      </c>
      <c r="L537" s="96">
        <v>12.708</v>
      </c>
    </row>
    <row r="538" spans="1:12" ht="13.5" thickBot="1" x14ac:dyDescent="0.25">
      <c r="A538" s="106"/>
      <c r="B538" s="107"/>
      <c r="C538" s="106"/>
      <c r="D538" s="106"/>
      <c r="E538" s="108"/>
      <c r="F538" s="109" t="s">
        <v>503</v>
      </c>
      <c r="G538" s="96"/>
      <c r="I538" s="96"/>
      <c r="J538" s="96"/>
      <c r="K538" s="96"/>
      <c r="L538" s="96"/>
    </row>
    <row r="539" spans="1:12" x14ac:dyDescent="0.2">
      <c r="A539" s="110"/>
      <c r="B539" s="111" t="s">
        <v>17</v>
      </c>
      <c r="C539" s="112">
        <v>3392</v>
      </c>
      <c r="D539" s="113"/>
      <c r="E539" s="114"/>
      <c r="F539" s="115"/>
      <c r="G539" s="116">
        <f t="shared" ref="G539:L539" si="1">SUM(G530:G538)</f>
        <v>527</v>
      </c>
      <c r="I539" s="116">
        <f t="shared" si="1"/>
        <v>467</v>
      </c>
      <c r="J539" s="116">
        <f t="shared" si="1"/>
        <v>210.82400000000001</v>
      </c>
      <c r="K539" s="116">
        <f t="shared" si="1"/>
        <v>424.28000000000003</v>
      </c>
      <c r="L539" s="116">
        <f t="shared" si="1"/>
        <v>314.81500000000005</v>
      </c>
    </row>
    <row r="541" spans="1:12" x14ac:dyDescent="0.2">
      <c r="A541" s="106">
        <v>1100</v>
      </c>
      <c r="B541" s="107" t="s">
        <v>221</v>
      </c>
      <c r="C541" s="106">
        <v>3612</v>
      </c>
      <c r="D541" s="106">
        <v>5021</v>
      </c>
      <c r="E541" s="108">
        <v>3612000000001</v>
      </c>
      <c r="F541" s="109" t="s">
        <v>181</v>
      </c>
      <c r="G541" s="96">
        <v>25</v>
      </c>
      <c r="I541" s="96">
        <v>25</v>
      </c>
      <c r="J541" s="96">
        <v>19.600000000000001</v>
      </c>
      <c r="K541" s="96">
        <v>25.2</v>
      </c>
      <c r="L541" s="96">
        <v>15.6</v>
      </c>
    </row>
    <row r="542" spans="1:12" x14ac:dyDescent="0.2">
      <c r="A542" s="106">
        <v>1100</v>
      </c>
      <c r="B542" s="107" t="s">
        <v>221</v>
      </c>
      <c r="C542" s="106">
        <v>3612</v>
      </c>
      <c r="D542" s="106">
        <v>5132</v>
      </c>
      <c r="E542" s="108">
        <v>3612000000001</v>
      </c>
      <c r="F542" s="109" t="s">
        <v>33</v>
      </c>
      <c r="G542" s="96">
        <v>2</v>
      </c>
      <c r="I542" s="96"/>
      <c r="J542" s="96"/>
      <c r="K542" s="96">
        <v>0</v>
      </c>
      <c r="L542" s="96">
        <v>0</v>
      </c>
    </row>
    <row r="543" spans="1:12" x14ac:dyDescent="0.2">
      <c r="A543" s="106">
        <v>1100</v>
      </c>
      <c r="B543" s="107" t="s">
        <v>221</v>
      </c>
      <c r="C543" s="106">
        <v>3612</v>
      </c>
      <c r="D543" s="106">
        <v>5134</v>
      </c>
      <c r="E543" s="108">
        <v>3612000000001</v>
      </c>
      <c r="F543" s="109" t="s">
        <v>254</v>
      </c>
      <c r="G543" s="96">
        <v>1</v>
      </c>
      <c r="I543" s="96"/>
      <c r="J543" s="96"/>
      <c r="K543" s="96">
        <v>0</v>
      </c>
      <c r="L543" s="96">
        <v>0</v>
      </c>
    </row>
    <row r="544" spans="1:12" x14ac:dyDescent="0.2">
      <c r="A544" s="106">
        <v>1100</v>
      </c>
      <c r="B544" s="107" t="s">
        <v>221</v>
      </c>
      <c r="C544" s="106">
        <v>3612</v>
      </c>
      <c r="D544" s="106">
        <v>5139</v>
      </c>
      <c r="E544" s="108">
        <v>3612000000001</v>
      </c>
      <c r="F544" s="109" t="s">
        <v>56</v>
      </c>
      <c r="G544" s="96">
        <v>2</v>
      </c>
      <c r="I544" s="96">
        <v>2</v>
      </c>
      <c r="J544" s="96">
        <v>1.57</v>
      </c>
      <c r="K544" s="96">
        <v>9.9000000000000005E-2</v>
      </c>
      <c r="L544" s="96">
        <v>0</v>
      </c>
    </row>
    <row r="545" spans="1:12" x14ac:dyDescent="0.2">
      <c r="A545" s="106">
        <v>1100</v>
      </c>
      <c r="B545" s="107" t="s">
        <v>221</v>
      </c>
      <c r="C545" s="106">
        <v>3612</v>
      </c>
      <c r="D545" s="106">
        <v>5153</v>
      </c>
      <c r="E545" s="108">
        <v>3612000000001</v>
      </c>
      <c r="F545" s="109" t="s">
        <v>214</v>
      </c>
      <c r="G545" s="96">
        <f>2*70</f>
        <v>140</v>
      </c>
      <c r="I545" s="96">
        <v>70</v>
      </c>
      <c r="J545" s="96">
        <v>5.4</v>
      </c>
      <c r="K545" s="96">
        <v>42.594000000000001</v>
      </c>
      <c r="L545" s="96">
        <v>45.837000000000003</v>
      </c>
    </row>
    <row r="546" spans="1:12" x14ac:dyDescent="0.2">
      <c r="A546" s="106">
        <v>1100</v>
      </c>
      <c r="B546" s="107" t="s">
        <v>221</v>
      </c>
      <c r="C546" s="106">
        <v>3612</v>
      </c>
      <c r="D546" s="106">
        <v>5154</v>
      </c>
      <c r="E546" s="108">
        <v>3612000000001</v>
      </c>
      <c r="F546" s="109" t="s">
        <v>215</v>
      </c>
      <c r="G546" s="96">
        <f>2*150</f>
        <v>300</v>
      </c>
      <c r="I546" s="96">
        <v>75</v>
      </c>
      <c r="J546" s="96">
        <v>113.941</v>
      </c>
      <c r="K546" s="96">
        <v>80.099000000000004</v>
      </c>
      <c r="L546" s="96">
        <v>46.67</v>
      </c>
    </row>
    <row r="547" spans="1:12" x14ac:dyDescent="0.2">
      <c r="A547" s="106">
        <v>1100</v>
      </c>
      <c r="B547" s="107" t="s">
        <v>221</v>
      </c>
      <c r="C547" s="106">
        <v>3612</v>
      </c>
      <c r="D547" s="106">
        <v>5169</v>
      </c>
      <c r="E547" s="108">
        <v>3612000000001</v>
      </c>
      <c r="F547" s="109" t="s">
        <v>20</v>
      </c>
      <c r="G547" s="96">
        <v>15</v>
      </c>
      <c r="I547" s="96">
        <v>15</v>
      </c>
      <c r="J547" s="96">
        <v>1.0640000000000001</v>
      </c>
      <c r="K547" s="96">
        <v>34.659999999999997</v>
      </c>
      <c r="L547" s="96">
        <v>11.145</v>
      </c>
    </row>
    <row r="548" spans="1:12" x14ac:dyDescent="0.2">
      <c r="A548" s="106">
        <v>1100</v>
      </c>
      <c r="B548" s="107" t="s">
        <v>221</v>
      </c>
      <c r="C548" s="106">
        <v>3612</v>
      </c>
      <c r="D548" s="106">
        <v>5171</v>
      </c>
      <c r="E548" s="108">
        <v>3612000000001</v>
      </c>
      <c r="F548" s="109" t="s">
        <v>118</v>
      </c>
      <c r="G548" s="96">
        <v>33</v>
      </c>
      <c r="I548" s="96">
        <v>33</v>
      </c>
      <c r="J548" s="96">
        <v>16.863</v>
      </c>
      <c r="K548" s="96">
        <v>114.349</v>
      </c>
      <c r="L548" s="96">
        <v>4.2</v>
      </c>
    </row>
    <row r="549" spans="1:12" ht="13.5" thickBot="1" x14ac:dyDescent="0.25">
      <c r="A549" s="106"/>
      <c r="B549" s="107"/>
      <c r="C549" s="106"/>
      <c r="D549" s="106"/>
      <c r="E549" s="108"/>
      <c r="F549" s="109" t="s">
        <v>503</v>
      </c>
      <c r="G549" s="96"/>
      <c r="I549" s="96"/>
      <c r="J549" s="96">
        <f>17.399+10.07+6.99+1.815+40</f>
        <v>76.274000000000001</v>
      </c>
      <c r="K549" s="96">
        <f>0.691+1.135</f>
        <v>1.8260000000000001</v>
      </c>
      <c r="L549" s="96">
        <v>1.861</v>
      </c>
    </row>
    <row r="550" spans="1:12" x14ac:dyDescent="0.2">
      <c r="A550" s="110"/>
      <c r="B550" s="111" t="s">
        <v>17</v>
      </c>
      <c r="C550" s="112">
        <v>3612</v>
      </c>
      <c r="D550" s="113"/>
      <c r="E550" s="114"/>
      <c r="F550" s="115"/>
      <c r="G550" s="116">
        <f>SUM(G541:G549)</f>
        <v>518</v>
      </c>
      <c r="I550" s="116">
        <f>SUM(I541:I549)</f>
        <v>220</v>
      </c>
      <c r="J550" s="116">
        <f>SUM(J541:J549)</f>
        <v>234.71199999999999</v>
      </c>
      <c r="K550" s="116">
        <f>SUM(K541:K549)</f>
        <v>298.82700000000006</v>
      </c>
      <c r="L550" s="116">
        <f>SUM(L541:L549)</f>
        <v>125.313</v>
      </c>
    </row>
    <row r="552" spans="1:12" x14ac:dyDescent="0.2">
      <c r="A552" s="106">
        <v>1100</v>
      </c>
      <c r="B552" s="107" t="s">
        <v>222</v>
      </c>
      <c r="C552" s="106">
        <v>3613</v>
      </c>
      <c r="D552" s="106">
        <v>5153</v>
      </c>
      <c r="E552" s="108">
        <v>3613000000001</v>
      </c>
      <c r="F552" s="109" t="s">
        <v>214</v>
      </c>
      <c r="G552" s="96">
        <f>2*70</f>
        <v>140</v>
      </c>
      <c r="I552" s="96">
        <v>70</v>
      </c>
      <c r="J552" s="96">
        <v>21.3</v>
      </c>
      <c r="K552" s="96">
        <v>42.000999999999998</v>
      </c>
      <c r="L552" s="96">
        <v>29.055</v>
      </c>
    </row>
    <row r="553" spans="1:12" x14ac:dyDescent="0.2">
      <c r="A553" s="106">
        <v>1100</v>
      </c>
      <c r="B553" s="107" t="s">
        <v>222</v>
      </c>
      <c r="C553" s="106">
        <v>3613</v>
      </c>
      <c r="D553" s="106">
        <v>5154</v>
      </c>
      <c r="E553" s="108">
        <v>3613000000001</v>
      </c>
      <c r="F553" s="109" t="s">
        <v>215</v>
      </c>
      <c r="G553" s="96">
        <f>2*170</f>
        <v>340</v>
      </c>
      <c r="I553" s="96">
        <v>170</v>
      </c>
      <c r="J553" s="96">
        <v>62.133000000000003</v>
      </c>
      <c r="K553" s="96">
        <v>135.715</v>
      </c>
      <c r="L553" s="96">
        <v>25.571000000000002</v>
      </c>
    </row>
    <row r="554" spans="1:12" x14ac:dyDescent="0.2">
      <c r="A554" s="106">
        <v>1100</v>
      </c>
      <c r="B554" s="107" t="s">
        <v>222</v>
      </c>
      <c r="C554" s="106">
        <v>3613</v>
      </c>
      <c r="D554" s="106">
        <v>5164</v>
      </c>
      <c r="E554" s="108">
        <v>3613000000001</v>
      </c>
      <c r="F554" s="109" t="s">
        <v>461</v>
      </c>
      <c r="G554" s="96">
        <v>185</v>
      </c>
      <c r="I554" s="96">
        <v>173</v>
      </c>
      <c r="J554" s="96">
        <v>129.75700000000001</v>
      </c>
      <c r="K554" s="96">
        <v>173</v>
      </c>
      <c r="L554" s="96">
        <v>129.75</v>
      </c>
    </row>
    <row r="555" spans="1:12" x14ac:dyDescent="0.2">
      <c r="A555" s="106">
        <v>1100</v>
      </c>
      <c r="B555" s="107" t="s">
        <v>222</v>
      </c>
      <c r="C555" s="106">
        <v>3613</v>
      </c>
      <c r="D555" s="106">
        <v>5169</v>
      </c>
      <c r="E555" s="108">
        <v>3613000000001</v>
      </c>
      <c r="F555" s="109" t="s">
        <v>12</v>
      </c>
      <c r="G555" s="96">
        <v>50</v>
      </c>
      <c r="I555" s="96">
        <v>5</v>
      </c>
      <c r="J555" s="96">
        <v>1239.442</v>
      </c>
      <c r="K555" s="96">
        <v>11.403</v>
      </c>
      <c r="L555" s="96">
        <v>8.8689999999999998</v>
      </c>
    </row>
    <row r="556" spans="1:12" x14ac:dyDescent="0.2">
      <c r="A556" s="106">
        <v>1100</v>
      </c>
      <c r="B556" s="107" t="s">
        <v>222</v>
      </c>
      <c r="C556" s="106">
        <v>3613</v>
      </c>
      <c r="D556" s="106">
        <v>5171</v>
      </c>
      <c r="E556" s="108">
        <v>3613000000001</v>
      </c>
      <c r="F556" s="109" t="s">
        <v>118</v>
      </c>
      <c r="G556" s="96">
        <v>100</v>
      </c>
      <c r="I556" s="96">
        <v>60</v>
      </c>
      <c r="J556" s="96">
        <v>237.88499999999999</v>
      </c>
      <c r="K556" s="96">
        <v>20.158000000000001</v>
      </c>
      <c r="L556" s="96">
        <v>0</v>
      </c>
    </row>
    <row r="557" spans="1:12" ht="13.5" thickBot="1" x14ac:dyDescent="0.25">
      <c r="A557" s="106"/>
      <c r="B557" s="107"/>
      <c r="C557" s="106"/>
      <c r="D557" s="106"/>
      <c r="E557" s="108"/>
      <c r="F557" s="109" t="s">
        <v>503</v>
      </c>
      <c r="G557" s="96"/>
      <c r="I557" s="96"/>
      <c r="J557" s="96">
        <f>46.55+1.303+7.865</f>
        <v>55.717999999999996</v>
      </c>
      <c r="K557" s="96">
        <f>16.59+8.397+51.5</f>
        <v>76.486999999999995</v>
      </c>
      <c r="L557" s="96"/>
    </row>
    <row r="558" spans="1:12" x14ac:dyDescent="0.2">
      <c r="A558" s="110"/>
      <c r="B558" s="111" t="s">
        <v>17</v>
      </c>
      <c r="C558" s="112">
        <v>3613</v>
      </c>
      <c r="D558" s="113"/>
      <c r="E558" s="114"/>
      <c r="F558" s="115"/>
      <c r="G558" s="116">
        <f>SUM(G552:G557)</f>
        <v>815</v>
      </c>
      <c r="I558" s="116">
        <f>SUM(I552:I557)</f>
        <v>478</v>
      </c>
      <c r="J558" s="116">
        <f>SUM(J552:J557)</f>
        <v>1746.2350000000001</v>
      </c>
      <c r="K558" s="116">
        <f>SUM(K552:K557)</f>
        <v>458.76400000000001</v>
      </c>
      <c r="L558" s="116">
        <f>SUM(L552:L557)</f>
        <v>193.245</v>
      </c>
    </row>
    <row r="560" spans="1:12" x14ac:dyDescent="0.2">
      <c r="A560" s="106">
        <v>1100</v>
      </c>
      <c r="B560" s="107" t="s">
        <v>224</v>
      </c>
      <c r="C560" s="106">
        <v>3631</v>
      </c>
      <c r="D560" s="106">
        <v>5139</v>
      </c>
      <c r="E560" s="108">
        <v>3631000000001</v>
      </c>
      <c r="F560" s="109" t="s">
        <v>56</v>
      </c>
      <c r="G560" s="96">
        <v>100</v>
      </c>
      <c r="I560" s="96">
        <v>100</v>
      </c>
      <c r="J560" s="96">
        <v>34.935000000000002</v>
      </c>
      <c r="K560" s="96">
        <v>23.146999999999998</v>
      </c>
      <c r="L560" s="96">
        <v>100.354</v>
      </c>
    </row>
    <row r="561" spans="1:12" x14ac:dyDescent="0.2">
      <c r="A561" s="106">
        <v>1100</v>
      </c>
      <c r="B561" s="107" t="s">
        <v>224</v>
      </c>
      <c r="C561" s="106">
        <v>3631</v>
      </c>
      <c r="D561" s="106">
        <v>5154</v>
      </c>
      <c r="E561" s="108">
        <v>3631000000001</v>
      </c>
      <c r="F561" s="109" t="s">
        <v>104</v>
      </c>
      <c r="G561" s="96">
        <f>2*1200</f>
        <v>2400</v>
      </c>
      <c r="I561" s="96">
        <v>1200</v>
      </c>
      <c r="J561" s="96">
        <v>957.88300000000004</v>
      </c>
      <c r="K561" s="96">
        <v>1377.9690000000001</v>
      </c>
      <c r="L561" s="96">
        <v>1189.819</v>
      </c>
    </row>
    <row r="562" spans="1:12" x14ac:dyDescent="0.2">
      <c r="A562" s="106">
        <v>1100</v>
      </c>
      <c r="B562" s="107" t="s">
        <v>224</v>
      </c>
      <c r="C562" s="106">
        <v>3631</v>
      </c>
      <c r="D562" s="106">
        <v>5169</v>
      </c>
      <c r="E562" s="108">
        <v>3631000000001</v>
      </c>
      <c r="F562" s="109" t="s">
        <v>225</v>
      </c>
      <c r="G562" s="96">
        <v>1000</v>
      </c>
      <c r="I562" s="96">
        <v>720</v>
      </c>
      <c r="J562" s="96">
        <v>602.21699999999998</v>
      </c>
      <c r="K562" s="96">
        <v>815.73699999999997</v>
      </c>
      <c r="L562" s="96">
        <v>823.43799999999999</v>
      </c>
    </row>
    <row r="563" spans="1:12" x14ac:dyDescent="0.2">
      <c r="A563" s="106">
        <v>1100</v>
      </c>
      <c r="B563" s="107" t="s">
        <v>224</v>
      </c>
      <c r="C563" s="106">
        <v>3631</v>
      </c>
      <c r="D563" s="106">
        <v>5171</v>
      </c>
      <c r="E563" s="108">
        <v>3631000000001</v>
      </c>
      <c r="F563" s="109" t="s">
        <v>108</v>
      </c>
      <c r="G563" s="96">
        <v>150</v>
      </c>
      <c r="I563" s="96">
        <v>150</v>
      </c>
      <c r="J563" s="96">
        <v>182.768</v>
      </c>
      <c r="K563" s="96">
        <v>588.97699999999998</v>
      </c>
      <c r="L563" s="96">
        <v>303.02699999999999</v>
      </c>
    </row>
    <row r="564" spans="1:12" ht="13.5" thickBot="1" x14ac:dyDescent="0.25">
      <c r="A564" s="106"/>
      <c r="B564" s="107"/>
      <c r="C564" s="106"/>
      <c r="D564" s="106"/>
      <c r="E564" s="108"/>
      <c r="F564" s="109" t="s">
        <v>503</v>
      </c>
      <c r="G564" s="96"/>
      <c r="I564" s="96"/>
      <c r="J564" s="96">
        <f>23.344</f>
        <v>23.344000000000001</v>
      </c>
      <c r="K564" s="96">
        <f>7.5</f>
        <v>7.5</v>
      </c>
      <c r="L564" s="96"/>
    </row>
    <row r="565" spans="1:12" x14ac:dyDescent="0.2">
      <c r="A565" s="110"/>
      <c r="B565" s="111" t="s">
        <v>17</v>
      </c>
      <c r="C565" s="112">
        <v>3631</v>
      </c>
      <c r="D565" s="113"/>
      <c r="E565" s="114"/>
      <c r="F565" s="115"/>
      <c r="G565" s="116">
        <f>SUM(G560:G564)</f>
        <v>3650</v>
      </c>
      <c r="I565" s="116">
        <f>SUM(I560:I564)</f>
        <v>2170</v>
      </c>
      <c r="J565" s="116">
        <f>SUM(J560:J564)</f>
        <v>1801.1469999999999</v>
      </c>
      <c r="K565" s="116">
        <f>SUM(K560:K564)</f>
        <v>2813.33</v>
      </c>
      <c r="L565" s="116">
        <f>SUM(L560:L564)</f>
        <v>2416.6379999999999</v>
      </c>
    </row>
    <row r="567" spans="1:12" x14ac:dyDescent="0.2">
      <c r="A567" s="106">
        <v>1100</v>
      </c>
      <c r="B567" s="107" t="s">
        <v>227</v>
      </c>
      <c r="C567" s="106">
        <v>3633</v>
      </c>
      <c r="D567" s="106">
        <v>5171</v>
      </c>
      <c r="E567" s="108">
        <v>3633000000001</v>
      </c>
      <c r="F567" s="109" t="s">
        <v>108</v>
      </c>
      <c r="G567" s="96">
        <v>30</v>
      </c>
      <c r="I567" s="96">
        <v>30</v>
      </c>
      <c r="J567" s="96">
        <v>16.48</v>
      </c>
      <c r="K567" s="96">
        <v>21.925000000000001</v>
      </c>
      <c r="L567" s="96">
        <v>21.925000000000001</v>
      </c>
    </row>
    <row r="568" spans="1:12" ht="13.5" thickBot="1" x14ac:dyDescent="0.25">
      <c r="A568" s="106"/>
      <c r="B568" s="107"/>
      <c r="C568" s="106"/>
      <c r="D568" s="106"/>
      <c r="E568" s="108"/>
      <c r="F568" s="109" t="s">
        <v>503</v>
      </c>
      <c r="G568" s="96"/>
      <c r="I568" s="96"/>
      <c r="J568" s="96"/>
      <c r="K568" s="96">
        <f>21.115</f>
        <v>21.114999999999998</v>
      </c>
      <c r="L568" s="96"/>
    </row>
    <row r="569" spans="1:12" x14ac:dyDescent="0.2">
      <c r="A569" s="110"/>
      <c r="B569" s="111" t="s">
        <v>17</v>
      </c>
      <c r="C569" s="112">
        <v>3633</v>
      </c>
      <c r="D569" s="113"/>
      <c r="E569" s="114"/>
      <c r="F569" s="115"/>
      <c r="G569" s="116">
        <f t="shared" ref="G569:L569" si="2">SUM(G567:G568)</f>
        <v>30</v>
      </c>
      <c r="I569" s="116">
        <f t="shared" si="2"/>
        <v>30</v>
      </c>
      <c r="J569" s="116">
        <f t="shared" si="2"/>
        <v>16.48</v>
      </c>
      <c r="K569" s="116">
        <f t="shared" si="2"/>
        <v>43.04</v>
      </c>
      <c r="L569" s="116">
        <f t="shared" si="2"/>
        <v>21.925000000000001</v>
      </c>
    </row>
    <row r="571" spans="1:12" x14ac:dyDescent="0.2">
      <c r="A571" s="106">
        <v>1100</v>
      </c>
      <c r="B571" s="107" t="s">
        <v>228</v>
      </c>
      <c r="C571" s="106">
        <v>3636</v>
      </c>
      <c r="D571" s="106">
        <v>5164</v>
      </c>
      <c r="E571" s="108">
        <v>3636000000001</v>
      </c>
      <c r="F571" s="109" t="s">
        <v>614</v>
      </c>
      <c r="G571" s="96">
        <v>30</v>
      </c>
      <c r="I571" s="96">
        <v>52</v>
      </c>
      <c r="J571" s="96">
        <f>17.24+0.5</f>
        <v>17.739999999999998</v>
      </c>
      <c r="K571" s="96">
        <f>29.44+0.5</f>
        <v>29.94</v>
      </c>
      <c r="L571" s="96">
        <f>29.24+0.458</f>
        <v>29.697999999999997</v>
      </c>
    </row>
    <row r="572" spans="1:12" x14ac:dyDescent="0.2">
      <c r="A572" s="106">
        <v>1100</v>
      </c>
      <c r="B572" s="107" t="s">
        <v>228</v>
      </c>
      <c r="C572" s="106">
        <v>3636</v>
      </c>
      <c r="D572" s="106">
        <v>5166</v>
      </c>
      <c r="E572" s="108">
        <v>3636000000001</v>
      </c>
      <c r="F572" s="109" t="s">
        <v>469</v>
      </c>
      <c r="G572" s="96">
        <v>180</v>
      </c>
      <c r="I572" s="96">
        <v>180</v>
      </c>
      <c r="J572" s="96">
        <v>171.715</v>
      </c>
      <c r="K572" s="96">
        <v>261.77</v>
      </c>
      <c r="L572" s="96">
        <v>660.42</v>
      </c>
    </row>
    <row r="573" spans="1:12" x14ac:dyDescent="0.2">
      <c r="A573" s="106">
        <v>1100</v>
      </c>
      <c r="B573" s="107" t="s">
        <v>228</v>
      </c>
      <c r="C573" s="106">
        <v>3636</v>
      </c>
      <c r="D573" s="106">
        <v>5169</v>
      </c>
      <c r="E573" s="108">
        <v>3636000000001</v>
      </c>
      <c r="F573" s="109" t="s">
        <v>275</v>
      </c>
      <c r="G573" s="96">
        <v>200</v>
      </c>
      <c r="I573" s="96">
        <v>150</v>
      </c>
      <c r="J573" s="96">
        <v>67.409000000000006</v>
      </c>
      <c r="K573" s="96">
        <v>77.688000000000002</v>
      </c>
      <c r="L573" s="96">
        <v>149.649</v>
      </c>
    </row>
    <row r="574" spans="1:12" x14ac:dyDescent="0.2">
      <c r="A574" s="106">
        <v>1100</v>
      </c>
      <c r="B574" s="107" t="s">
        <v>228</v>
      </c>
      <c r="C574" s="106">
        <v>3636</v>
      </c>
      <c r="D574" s="106">
        <v>5179</v>
      </c>
      <c r="E574" s="108">
        <v>3636000000001</v>
      </c>
      <c r="F574" s="109" t="s">
        <v>229</v>
      </c>
      <c r="G574" s="96">
        <v>0</v>
      </c>
      <c r="I574" s="96">
        <v>44</v>
      </c>
      <c r="J574" s="96"/>
      <c r="K574" s="96"/>
      <c r="L574" s="96"/>
    </row>
    <row r="575" spans="1:12" x14ac:dyDescent="0.2">
      <c r="A575" s="106">
        <v>1100</v>
      </c>
      <c r="B575" s="107" t="s">
        <v>228</v>
      </c>
      <c r="C575" s="106">
        <v>3636</v>
      </c>
      <c r="D575" s="106">
        <v>5329</v>
      </c>
      <c r="E575" s="108">
        <v>3636000000001</v>
      </c>
      <c r="F575" s="109" t="s">
        <v>230</v>
      </c>
      <c r="G575" s="96">
        <v>0</v>
      </c>
      <c r="I575" s="96">
        <v>79</v>
      </c>
      <c r="J575" s="96"/>
      <c r="K575" s="96"/>
      <c r="L575" s="96"/>
    </row>
    <row r="576" spans="1:12" x14ac:dyDescent="0.2">
      <c r="A576" s="106">
        <v>1100</v>
      </c>
      <c r="B576" s="107" t="s">
        <v>228</v>
      </c>
      <c r="C576" s="106">
        <v>3636</v>
      </c>
      <c r="D576" s="106">
        <v>5361</v>
      </c>
      <c r="E576" s="108">
        <v>3636000000001</v>
      </c>
      <c r="F576" s="109" t="s">
        <v>120</v>
      </c>
      <c r="G576" s="96">
        <v>50</v>
      </c>
      <c r="I576" s="96">
        <v>40</v>
      </c>
      <c r="J576" s="96">
        <v>32</v>
      </c>
      <c r="K576" s="96">
        <v>23.2</v>
      </c>
      <c r="L576" s="96">
        <v>6</v>
      </c>
    </row>
    <row r="577" spans="1:12" ht="13.5" thickBot="1" x14ac:dyDescent="0.25">
      <c r="A577" s="106"/>
      <c r="B577" s="107"/>
      <c r="C577" s="106"/>
      <c r="D577" s="106"/>
      <c r="E577" s="108"/>
      <c r="F577" s="109" t="s">
        <v>503</v>
      </c>
      <c r="G577" s="96"/>
      <c r="I577" s="96"/>
      <c r="J577" s="96">
        <f>0.086</f>
        <v>8.5999999999999993E-2</v>
      </c>
      <c r="K577" s="96">
        <f>1204.86+118.921+169.642</f>
        <v>1493.423</v>
      </c>
      <c r="L577" s="96">
        <f>74.916+200</f>
        <v>274.916</v>
      </c>
    </row>
    <row r="578" spans="1:12" x14ac:dyDescent="0.2">
      <c r="A578" s="110"/>
      <c r="B578" s="111" t="s">
        <v>17</v>
      </c>
      <c r="C578" s="112">
        <v>3636</v>
      </c>
      <c r="D578" s="113"/>
      <c r="E578" s="114"/>
      <c r="F578" s="115"/>
      <c r="G578" s="116">
        <f>SUM(G571:G577)</f>
        <v>460</v>
      </c>
      <c r="I578" s="116">
        <f>SUM(I571:I577)</f>
        <v>545</v>
      </c>
      <c r="J578" s="116">
        <f>SUM(J571:J577)</f>
        <v>288.95000000000005</v>
      </c>
      <c r="K578" s="116">
        <f>SUM(K571:K577)</f>
        <v>1886.021</v>
      </c>
      <c r="L578" s="116">
        <f>SUM(L571:L577)</f>
        <v>1120.683</v>
      </c>
    </row>
    <row r="580" spans="1:12" x14ac:dyDescent="0.2">
      <c r="A580" s="106">
        <v>1100</v>
      </c>
      <c r="B580" s="107" t="s">
        <v>233</v>
      </c>
      <c r="C580" s="106">
        <v>3744</v>
      </c>
      <c r="D580" s="106">
        <v>5901</v>
      </c>
      <c r="E580" s="108">
        <v>3744000000003</v>
      </c>
      <c r="F580" s="109" t="s">
        <v>234</v>
      </c>
      <c r="G580" s="96">
        <v>2000</v>
      </c>
      <c r="I580" s="96">
        <v>2000</v>
      </c>
      <c r="J580" s="96">
        <v>0</v>
      </c>
      <c r="K580" s="96">
        <v>9.68</v>
      </c>
      <c r="L580" s="96"/>
    </row>
    <row r="581" spans="1:12" ht="13.5" thickBot="1" x14ac:dyDescent="0.25">
      <c r="A581" s="106"/>
      <c r="B581" s="107"/>
      <c r="C581" s="106"/>
      <c r="D581" s="106"/>
      <c r="E581" s="108"/>
      <c r="F581" s="109" t="s">
        <v>503</v>
      </c>
      <c r="G581" s="96"/>
      <c r="I581" s="96"/>
      <c r="J581" s="96"/>
      <c r="K581" s="96">
        <f>12.1</f>
        <v>12.1</v>
      </c>
      <c r="L581" s="96"/>
    </row>
    <row r="582" spans="1:12" x14ac:dyDescent="0.2">
      <c r="A582" s="110"/>
      <c r="B582" s="111" t="s">
        <v>17</v>
      </c>
      <c r="C582" s="112">
        <v>3744</v>
      </c>
      <c r="D582" s="113"/>
      <c r="E582" s="114"/>
      <c r="F582" s="115"/>
      <c r="G582" s="116">
        <f t="shared" ref="G582:L582" si="3">SUM(G580:G581)</f>
        <v>2000</v>
      </c>
      <c r="I582" s="116">
        <f t="shared" si="3"/>
        <v>2000</v>
      </c>
      <c r="J582" s="116">
        <f t="shared" si="3"/>
        <v>0</v>
      </c>
      <c r="K582" s="116">
        <f t="shared" si="3"/>
        <v>21.78</v>
      </c>
      <c r="L582" s="116">
        <f t="shared" si="3"/>
        <v>0</v>
      </c>
    </row>
    <row r="584" spans="1:12" x14ac:dyDescent="0.2">
      <c r="A584" s="106">
        <v>1100</v>
      </c>
      <c r="B584" s="107" t="s">
        <v>236</v>
      </c>
      <c r="C584" s="106">
        <v>6171</v>
      </c>
      <c r="D584" s="106">
        <v>5011</v>
      </c>
      <c r="E584" s="108">
        <v>6171110000001</v>
      </c>
      <c r="F584" s="109" t="s">
        <v>51</v>
      </c>
      <c r="G584" s="96">
        <v>3769</v>
      </c>
      <c r="I584" s="96">
        <v>3604</v>
      </c>
      <c r="J584" s="96">
        <v>2730.9470000000001</v>
      </c>
      <c r="K584" s="96">
        <v>3538.7049999999999</v>
      </c>
      <c r="L584" s="96">
        <v>3153.6239999999998</v>
      </c>
    </row>
    <row r="585" spans="1:12" x14ac:dyDescent="0.2">
      <c r="A585" s="106">
        <v>1100</v>
      </c>
      <c r="B585" s="107" t="s">
        <v>236</v>
      </c>
      <c r="C585" s="106">
        <v>6171</v>
      </c>
      <c r="D585" s="106">
        <v>5031</v>
      </c>
      <c r="E585" s="108">
        <v>6171110000001</v>
      </c>
      <c r="F585" s="109" t="s">
        <v>126</v>
      </c>
      <c r="G585" s="96">
        <v>943</v>
      </c>
      <c r="I585" s="96">
        <v>901</v>
      </c>
      <c r="J585" s="96">
        <v>675.971</v>
      </c>
      <c r="K585" s="96">
        <v>872.06799999999998</v>
      </c>
      <c r="L585" s="96">
        <v>785.06299999999999</v>
      </c>
    </row>
    <row r="586" spans="1:12" x14ac:dyDescent="0.2">
      <c r="A586" s="106">
        <v>1100</v>
      </c>
      <c r="B586" s="107" t="s">
        <v>236</v>
      </c>
      <c r="C586" s="106">
        <v>6171</v>
      </c>
      <c r="D586" s="106">
        <v>5032</v>
      </c>
      <c r="E586" s="108">
        <v>6171110000001</v>
      </c>
      <c r="F586" s="109" t="s">
        <v>127</v>
      </c>
      <c r="G586" s="96">
        <v>340</v>
      </c>
      <c r="I586" s="96">
        <v>324</v>
      </c>
      <c r="J586" s="96">
        <v>245.31299999999999</v>
      </c>
      <c r="K586" s="96">
        <v>316.65199999999999</v>
      </c>
      <c r="L586" s="96">
        <v>283.649</v>
      </c>
    </row>
    <row r="587" spans="1:12" x14ac:dyDescent="0.2">
      <c r="A587" s="106">
        <v>1100</v>
      </c>
      <c r="B587" s="107" t="s">
        <v>236</v>
      </c>
      <c r="C587" s="106">
        <v>6171</v>
      </c>
      <c r="D587" s="106">
        <v>5132</v>
      </c>
      <c r="E587" s="108">
        <v>6171110000001</v>
      </c>
      <c r="F587" s="109" t="s">
        <v>33</v>
      </c>
      <c r="G587" s="96">
        <v>5</v>
      </c>
      <c r="I587" s="96"/>
      <c r="J587" s="96"/>
      <c r="K587" s="96">
        <v>0</v>
      </c>
      <c r="L587" s="96">
        <v>0</v>
      </c>
    </row>
    <row r="588" spans="1:12" x14ac:dyDescent="0.2">
      <c r="A588" s="106">
        <v>1100</v>
      </c>
      <c r="B588" s="107" t="s">
        <v>236</v>
      </c>
      <c r="C588" s="106">
        <v>6171</v>
      </c>
      <c r="D588" s="106">
        <v>5139</v>
      </c>
      <c r="E588" s="108">
        <v>6171110000001</v>
      </c>
      <c r="F588" s="109" t="s">
        <v>56</v>
      </c>
      <c r="G588" s="96">
        <v>5</v>
      </c>
      <c r="I588" s="96">
        <v>3</v>
      </c>
      <c r="J588" s="96">
        <v>0.92600000000000005</v>
      </c>
      <c r="K588" s="96">
        <v>2.2959999999999998</v>
      </c>
      <c r="L588" s="96">
        <v>3.278</v>
      </c>
    </row>
    <row r="589" spans="1:12" x14ac:dyDescent="0.2">
      <c r="A589" s="106">
        <v>1100</v>
      </c>
      <c r="B589" s="107" t="s">
        <v>236</v>
      </c>
      <c r="C589" s="106">
        <v>6171</v>
      </c>
      <c r="D589" s="106">
        <v>5167</v>
      </c>
      <c r="E589" s="108">
        <v>6171110000001</v>
      </c>
      <c r="F589" s="109" t="s">
        <v>87</v>
      </c>
      <c r="G589" s="96">
        <v>50</v>
      </c>
      <c r="I589" s="96">
        <v>50</v>
      </c>
      <c r="J589" s="96">
        <v>0</v>
      </c>
      <c r="K589" s="96">
        <v>0</v>
      </c>
      <c r="L589" s="96">
        <v>8.07</v>
      </c>
    </row>
    <row r="590" spans="1:12" x14ac:dyDescent="0.2">
      <c r="A590" s="106">
        <v>1100</v>
      </c>
      <c r="B590" s="107" t="s">
        <v>236</v>
      </c>
      <c r="C590" s="106">
        <v>6171</v>
      </c>
      <c r="D590" s="106">
        <v>5169</v>
      </c>
      <c r="E590" s="108">
        <v>6171110000001</v>
      </c>
      <c r="F590" s="109" t="s">
        <v>20</v>
      </c>
      <c r="G590" s="96">
        <v>5</v>
      </c>
      <c r="I590" s="96">
        <v>3</v>
      </c>
      <c r="J590" s="96">
        <v>0.215</v>
      </c>
      <c r="K590" s="96">
        <v>0.625</v>
      </c>
      <c r="L590" s="96">
        <v>0.51800000000000002</v>
      </c>
    </row>
    <row r="591" spans="1:12" x14ac:dyDescent="0.2">
      <c r="A591" s="106">
        <v>1100</v>
      </c>
      <c r="B591" s="107" t="s">
        <v>236</v>
      </c>
      <c r="C591" s="106">
        <v>6171</v>
      </c>
      <c r="D591" s="106">
        <v>5173</v>
      </c>
      <c r="E591" s="108">
        <v>6171110000001</v>
      </c>
      <c r="F591" s="109" t="s">
        <v>60</v>
      </c>
      <c r="G591" s="96">
        <v>10</v>
      </c>
      <c r="I591" s="96">
        <v>4</v>
      </c>
      <c r="J591" s="96">
        <v>1.242</v>
      </c>
      <c r="K591" s="96">
        <v>19.041</v>
      </c>
      <c r="L591" s="96">
        <v>1.012</v>
      </c>
    </row>
    <row r="592" spans="1:12" x14ac:dyDescent="0.2">
      <c r="A592" s="106">
        <v>1100</v>
      </c>
      <c r="B592" s="107" t="s">
        <v>236</v>
      </c>
      <c r="C592" s="106">
        <v>6171</v>
      </c>
      <c r="D592" s="106">
        <v>5175</v>
      </c>
      <c r="E592" s="108">
        <v>6171110000001</v>
      </c>
      <c r="F592" s="109" t="s">
        <v>28</v>
      </c>
      <c r="G592" s="96">
        <v>5</v>
      </c>
      <c r="I592" s="96">
        <v>5</v>
      </c>
      <c r="J592" s="96">
        <v>0.48599999999999999</v>
      </c>
      <c r="K592" s="96">
        <v>1.595</v>
      </c>
      <c r="L592" s="96">
        <v>5.2930000000000001</v>
      </c>
    </row>
    <row r="593" spans="1:12" ht="13.5" thickBot="1" x14ac:dyDescent="0.25">
      <c r="A593" s="106"/>
      <c r="B593" s="107"/>
      <c r="C593" s="106"/>
      <c r="D593" s="106"/>
      <c r="E593" s="108"/>
      <c r="F593" s="109" t="s">
        <v>503</v>
      </c>
      <c r="G593" s="96"/>
      <c r="I593" s="96"/>
      <c r="J593" s="96">
        <f>46.392</f>
        <v>46.392000000000003</v>
      </c>
      <c r="K593" s="96">
        <f>1777.865</f>
        <v>1777.865</v>
      </c>
      <c r="L593" s="96">
        <f>3951.436</f>
        <v>3951.4360000000001</v>
      </c>
    </row>
    <row r="594" spans="1:12" x14ac:dyDescent="0.2">
      <c r="A594" s="110"/>
      <c r="B594" s="111" t="s">
        <v>17</v>
      </c>
      <c r="C594" s="112">
        <v>6171</v>
      </c>
      <c r="D594" s="113"/>
      <c r="E594" s="114"/>
      <c r="F594" s="115"/>
      <c r="G594" s="116">
        <f>SUM(G584:G593)</f>
        <v>5132</v>
      </c>
      <c r="I594" s="116">
        <f>SUM(I584:I593)</f>
        <v>4894</v>
      </c>
      <c r="J594" s="116">
        <f>SUM(J584:J593)</f>
        <v>3701.4920000000002</v>
      </c>
      <c r="K594" s="116">
        <f>SUM(K584:K593)</f>
        <v>6528.8470000000007</v>
      </c>
      <c r="L594" s="116">
        <f>SUM(L584:L593)</f>
        <v>8191.9429999999993</v>
      </c>
    </row>
    <row r="596" spans="1:12" x14ac:dyDescent="0.2">
      <c r="A596" s="106">
        <v>1100</v>
      </c>
      <c r="B596" s="107" t="s">
        <v>237</v>
      </c>
      <c r="C596" s="106">
        <v>6320</v>
      </c>
      <c r="D596" s="106">
        <v>5038</v>
      </c>
      <c r="E596" s="108">
        <v>6320000000001</v>
      </c>
      <c r="F596" s="109" t="s">
        <v>238</v>
      </c>
      <c r="G596" s="96">
        <v>500</v>
      </c>
      <c r="I596" s="96">
        <v>500</v>
      </c>
      <c r="J596" s="96">
        <v>354.92099999999999</v>
      </c>
      <c r="K596" s="96">
        <v>467.62599999999998</v>
      </c>
      <c r="L596" s="96">
        <v>421.74200000000002</v>
      </c>
    </row>
    <row r="597" spans="1:12" x14ac:dyDescent="0.2">
      <c r="A597" s="106">
        <v>1100</v>
      </c>
      <c r="B597" s="107" t="s">
        <v>237</v>
      </c>
      <c r="C597" s="106">
        <v>6320</v>
      </c>
      <c r="D597" s="106">
        <v>5163</v>
      </c>
      <c r="E597" s="108">
        <v>6320000000001</v>
      </c>
      <c r="F597" s="109" t="s">
        <v>470</v>
      </c>
      <c r="G597" s="96">
        <v>1328</v>
      </c>
      <c r="I597" s="96">
        <v>1200</v>
      </c>
      <c r="J597" s="96">
        <v>680.64700000000005</v>
      </c>
      <c r="K597" s="96">
        <v>1069.402</v>
      </c>
      <c r="L597" s="96">
        <v>937.77800000000002</v>
      </c>
    </row>
    <row r="598" spans="1:12" x14ac:dyDescent="0.2">
      <c r="A598" s="106">
        <v>1100</v>
      </c>
      <c r="B598" s="107" t="s">
        <v>237</v>
      </c>
      <c r="C598" s="106">
        <v>6320</v>
      </c>
      <c r="D598" s="106">
        <v>5192</v>
      </c>
      <c r="E598" s="108">
        <v>6320000000001</v>
      </c>
      <c r="F598" s="109" t="s">
        <v>239</v>
      </c>
      <c r="G598" s="96">
        <v>10</v>
      </c>
      <c r="I598" s="96">
        <v>10</v>
      </c>
      <c r="J598" s="96">
        <v>2</v>
      </c>
      <c r="K598" s="96">
        <v>2</v>
      </c>
      <c r="L598" s="96">
        <v>3</v>
      </c>
    </row>
    <row r="599" spans="1:12" ht="13.5" thickBot="1" x14ac:dyDescent="0.25">
      <c r="A599" s="106"/>
      <c r="B599" s="107"/>
      <c r="C599" s="106"/>
      <c r="D599" s="106"/>
      <c r="E599" s="108"/>
      <c r="F599" s="109" t="s">
        <v>503</v>
      </c>
      <c r="G599" s="96"/>
      <c r="I599" s="96"/>
      <c r="J599" s="96">
        <f>0.302</f>
        <v>0.30199999999999999</v>
      </c>
      <c r="K599" s="96">
        <f>0.605</f>
        <v>0.60499999999999998</v>
      </c>
      <c r="L599" s="96"/>
    </row>
    <row r="600" spans="1:12" x14ac:dyDescent="0.2">
      <c r="A600" s="110"/>
      <c r="B600" s="111" t="s">
        <v>17</v>
      </c>
      <c r="C600" s="112">
        <v>6320</v>
      </c>
      <c r="D600" s="113"/>
      <c r="E600" s="114"/>
      <c r="F600" s="115"/>
      <c r="G600" s="116">
        <f t="shared" ref="G600:L600" si="4">SUM(G596:G599)</f>
        <v>1838</v>
      </c>
      <c r="I600" s="116">
        <f t="shared" si="4"/>
        <v>1710</v>
      </c>
      <c r="J600" s="116">
        <f t="shared" si="4"/>
        <v>1037.8699999999999</v>
      </c>
      <c r="K600" s="116">
        <f t="shared" si="4"/>
        <v>1539.633</v>
      </c>
      <c r="L600" s="116">
        <f t="shared" si="4"/>
        <v>1362.52</v>
      </c>
    </row>
    <row r="602" spans="1:12" x14ac:dyDescent="0.2">
      <c r="A602" s="124"/>
      <c r="B602" s="125" t="s">
        <v>240</v>
      </c>
      <c r="C602" s="126"/>
      <c r="D602" s="127"/>
      <c r="E602" s="128"/>
      <c r="F602" s="129"/>
      <c r="G602" s="130">
        <f>SUM(G600,G594,G582,G578,G569,G565,G558,G550,G539,G528,G524,G509,G500,G495,G476,G452,G446,G439,G429)</f>
        <v>49289</v>
      </c>
      <c r="I602" s="130">
        <f>SUM(I600,I594,I582,I578,I569,I565,I558,I550,I539,I528,I524,I509,I500,I495,I476,I452,I446,I439,I429)</f>
        <v>34230.199999999997</v>
      </c>
      <c r="J602" s="130">
        <f>SUM(J600,J594,J582,J578,J569,J565,J558,J550,J539,J528,J524,J509,J500,J495,J476,J452,J446,J439,J429)</f>
        <v>25387.370999999999</v>
      </c>
      <c r="K602" s="130">
        <f>SUM(K600,K594,K582,K578,K569,K565,K558,K550,K539,K528,K524,K509,K500,K495,K476,K452,K446,K439,K429)</f>
        <v>45846.838000000003</v>
      </c>
      <c r="L602" s="130">
        <f>SUM(L600,L594,L582,L578,L569,L565,L558,L550,L539,L528,L524,L509,L500,L495,L476,L452,L446,L439,L429)</f>
        <v>33181.859999999993</v>
      </c>
    </row>
    <row r="605" spans="1:12" x14ac:dyDescent="0.2">
      <c r="A605" s="106">
        <v>1032</v>
      </c>
      <c r="B605" s="107" t="s">
        <v>676</v>
      </c>
      <c r="C605" s="106">
        <v>1032</v>
      </c>
      <c r="D605" s="106">
        <v>5169</v>
      </c>
      <c r="E605" s="108">
        <v>1032000000001</v>
      </c>
      <c r="F605" s="109" t="s">
        <v>650</v>
      </c>
      <c r="G605" s="96">
        <v>100</v>
      </c>
      <c r="I605" s="96"/>
      <c r="J605" s="96"/>
      <c r="K605" s="96"/>
      <c r="L605" s="96"/>
    </row>
    <row r="606" spans="1:12" ht="13.5" thickBot="1" x14ac:dyDescent="0.25">
      <c r="A606" s="106"/>
      <c r="B606" s="107"/>
      <c r="C606" s="106"/>
      <c r="D606" s="106"/>
      <c r="E606" s="108"/>
      <c r="F606" s="109" t="s">
        <v>503</v>
      </c>
      <c r="G606" s="96"/>
      <c r="I606" s="96"/>
      <c r="J606" s="96"/>
      <c r="K606" s="96"/>
      <c r="L606" s="96"/>
    </row>
    <row r="607" spans="1:12" x14ac:dyDescent="0.2">
      <c r="A607" s="110"/>
      <c r="B607" s="111" t="s">
        <v>17</v>
      </c>
      <c r="C607" s="112">
        <v>1032</v>
      </c>
      <c r="D607" s="113"/>
      <c r="E607" s="114"/>
      <c r="F607" s="115"/>
      <c r="G607" s="116">
        <f t="shared" ref="G607" si="5">SUM(G605:G606)</f>
        <v>100</v>
      </c>
      <c r="I607" s="116">
        <f t="shared" ref="I607:L607" si="6">SUM(I605:I606)</f>
        <v>0</v>
      </c>
      <c r="J607" s="116">
        <f t="shared" si="6"/>
        <v>0</v>
      </c>
      <c r="K607" s="116">
        <f t="shared" si="6"/>
        <v>0</v>
      </c>
      <c r="L607" s="116">
        <f t="shared" si="6"/>
        <v>0</v>
      </c>
    </row>
    <row r="608" spans="1:12" x14ac:dyDescent="0.2">
      <c r="A608" s="117"/>
      <c r="B608" s="118"/>
      <c r="C608" s="119"/>
      <c r="D608" s="120"/>
      <c r="E608" s="121"/>
      <c r="F608" s="122"/>
      <c r="G608" s="123"/>
      <c r="I608" s="123"/>
      <c r="J608" s="123"/>
      <c r="K608" s="123"/>
      <c r="L608" s="123"/>
    </row>
    <row r="609" spans="1:12" x14ac:dyDescent="0.2">
      <c r="A609" s="106">
        <v>1200</v>
      </c>
      <c r="B609" s="107" t="s">
        <v>241</v>
      </c>
      <c r="C609" s="106">
        <v>2212</v>
      </c>
      <c r="D609" s="106">
        <v>5139</v>
      </c>
      <c r="E609" s="108">
        <v>2212000000003</v>
      </c>
      <c r="F609" s="109" t="s">
        <v>56</v>
      </c>
      <c r="G609" s="96">
        <v>350</v>
      </c>
      <c r="I609" s="96">
        <v>250</v>
      </c>
      <c r="J609" s="96">
        <v>175.37</v>
      </c>
      <c r="K609" s="96">
        <v>68.709999999999994</v>
      </c>
      <c r="L609" s="96">
        <v>304.45999999999998</v>
      </c>
    </row>
    <row r="610" spans="1:12" ht="13.5" thickBot="1" x14ac:dyDescent="0.25">
      <c r="A610" s="106"/>
      <c r="B610" s="107"/>
      <c r="C610" s="106"/>
      <c r="D610" s="106"/>
      <c r="E610" s="108"/>
      <c r="F610" s="109" t="s">
        <v>503</v>
      </c>
      <c r="G610" s="96"/>
      <c r="I610" s="96"/>
      <c r="J610" s="96"/>
      <c r="K610" s="96"/>
      <c r="L610" s="96"/>
    </row>
    <row r="611" spans="1:12" x14ac:dyDescent="0.2">
      <c r="A611" s="110"/>
      <c r="B611" s="111" t="s">
        <v>17</v>
      </c>
      <c r="C611" s="112">
        <v>2212</v>
      </c>
      <c r="D611" s="113"/>
      <c r="E611" s="114"/>
      <c r="F611" s="115"/>
      <c r="G611" s="116">
        <f t="shared" ref="G611:L611" si="7">SUM(G609:G610)</f>
        <v>350</v>
      </c>
      <c r="I611" s="116">
        <f t="shared" si="7"/>
        <v>250</v>
      </c>
      <c r="J611" s="116">
        <f t="shared" si="7"/>
        <v>175.37</v>
      </c>
      <c r="K611" s="116">
        <f t="shared" si="7"/>
        <v>68.709999999999994</v>
      </c>
      <c r="L611" s="116">
        <f t="shared" si="7"/>
        <v>304.45999999999998</v>
      </c>
    </row>
    <row r="613" spans="1:12" x14ac:dyDescent="0.2">
      <c r="A613" s="106">
        <v>1200</v>
      </c>
      <c r="B613" s="107" t="s">
        <v>242</v>
      </c>
      <c r="C613" s="106">
        <v>2219</v>
      </c>
      <c r="D613" s="106">
        <v>5137</v>
      </c>
      <c r="E613" s="108">
        <v>2219000000003</v>
      </c>
      <c r="F613" s="109" t="s">
        <v>616</v>
      </c>
      <c r="G613" s="96">
        <v>50</v>
      </c>
      <c r="I613" s="96"/>
      <c r="J613" s="96">
        <v>24.117000000000001</v>
      </c>
      <c r="K613" s="96"/>
      <c r="L613" s="96"/>
    </row>
    <row r="614" spans="1:12" x14ac:dyDescent="0.2">
      <c r="A614" s="106">
        <v>1200</v>
      </c>
      <c r="B614" s="107" t="s">
        <v>242</v>
      </c>
      <c r="C614" s="106">
        <v>2219</v>
      </c>
      <c r="D614" s="106">
        <v>5139</v>
      </c>
      <c r="E614" s="108">
        <v>2219000000003</v>
      </c>
      <c r="F614" s="109" t="s">
        <v>56</v>
      </c>
      <c r="G614" s="96">
        <v>0</v>
      </c>
      <c r="I614" s="96">
        <v>100</v>
      </c>
      <c r="J614" s="96">
        <v>14.722</v>
      </c>
      <c r="K614" s="96">
        <v>16.312000000000001</v>
      </c>
      <c r="L614" s="96">
        <v>11.452999999999999</v>
      </c>
    </row>
    <row r="615" spans="1:12" x14ac:dyDescent="0.2">
      <c r="A615" s="106">
        <v>1200</v>
      </c>
      <c r="B615" s="107" t="s">
        <v>242</v>
      </c>
      <c r="C615" s="106">
        <v>2219</v>
      </c>
      <c r="D615" s="106">
        <v>5139</v>
      </c>
      <c r="E615" s="108">
        <v>2219000000003</v>
      </c>
      <c r="F615" s="109" t="s">
        <v>652</v>
      </c>
      <c r="G615" s="96">
        <v>160</v>
      </c>
      <c r="I615" s="96"/>
      <c r="J615" s="96"/>
      <c r="K615" s="96"/>
      <c r="L615" s="96"/>
    </row>
    <row r="616" spans="1:12" x14ac:dyDescent="0.2">
      <c r="A616" s="106">
        <v>1200</v>
      </c>
      <c r="B616" s="107" t="s">
        <v>242</v>
      </c>
      <c r="C616" s="106">
        <v>2219</v>
      </c>
      <c r="D616" s="106">
        <v>5169</v>
      </c>
      <c r="E616" s="108">
        <v>2219000000003</v>
      </c>
      <c r="F616" s="109" t="s">
        <v>617</v>
      </c>
      <c r="G616" s="96">
        <v>100</v>
      </c>
      <c r="I616" s="96"/>
      <c r="J616" s="96"/>
      <c r="K616" s="96"/>
      <c r="L616" s="96"/>
    </row>
    <row r="617" spans="1:12" x14ac:dyDescent="0.2">
      <c r="A617" s="106">
        <v>1200</v>
      </c>
      <c r="B617" s="107" t="s">
        <v>242</v>
      </c>
      <c r="C617" s="106">
        <v>2219</v>
      </c>
      <c r="D617" s="106">
        <v>5171</v>
      </c>
      <c r="E617" s="108">
        <v>2219000000003</v>
      </c>
      <c r="F617" s="109" t="s">
        <v>118</v>
      </c>
      <c r="G617" s="96">
        <v>20</v>
      </c>
      <c r="I617" s="96"/>
      <c r="J617" s="96"/>
      <c r="K617" s="96"/>
      <c r="L617" s="96">
        <v>0</v>
      </c>
    </row>
    <row r="618" spans="1:12" ht="13.5" thickBot="1" x14ac:dyDescent="0.25">
      <c r="A618" s="106"/>
      <c r="B618" s="107"/>
      <c r="C618" s="106"/>
      <c r="D618" s="106"/>
      <c r="E618" s="108"/>
      <c r="F618" s="109" t="s">
        <v>503</v>
      </c>
      <c r="G618" s="96"/>
      <c r="I618" s="96"/>
      <c r="J618" s="96"/>
      <c r="K618" s="96"/>
      <c r="L618" s="96"/>
    </row>
    <row r="619" spans="1:12" x14ac:dyDescent="0.2">
      <c r="A619" s="110"/>
      <c r="B619" s="111" t="s">
        <v>17</v>
      </c>
      <c r="C619" s="112">
        <v>2219</v>
      </c>
      <c r="D619" s="113"/>
      <c r="E619" s="114"/>
      <c r="F619" s="115"/>
      <c r="G619" s="116">
        <f>SUM(G613:G618)</f>
        <v>330</v>
      </c>
      <c r="I619" s="116">
        <f>SUM(I613:I618)</f>
        <v>100</v>
      </c>
      <c r="J619" s="116">
        <f>SUM(J613:J618)</f>
        <v>38.838999999999999</v>
      </c>
      <c r="K619" s="116">
        <f>SUM(K613:K618)</f>
        <v>16.312000000000001</v>
      </c>
      <c r="L619" s="116">
        <f>SUM(L613:L618)</f>
        <v>11.452999999999999</v>
      </c>
    </row>
    <row r="621" spans="1:12" x14ac:dyDescent="0.2">
      <c r="A621" s="106">
        <v>1200</v>
      </c>
      <c r="B621" s="107" t="s">
        <v>243</v>
      </c>
      <c r="C621" s="106">
        <v>2229</v>
      </c>
      <c r="D621" s="106">
        <v>5139</v>
      </c>
      <c r="E621" s="108">
        <v>2229000000001</v>
      </c>
      <c r="F621" s="109" t="s">
        <v>56</v>
      </c>
      <c r="G621" s="96">
        <v>70</v>
      </c>
      <c r="I621" s="96">
        <v>70</v>
      </c>
      <c r="J621" s="96">
        <v>26.289000000000001</v>
      </c>
      <c r="K621" s="96">
        <v>19.626000000000001</v>
      </c>
      <c r="L621" s="96">
        <v>41.386000000000003</v>
      </c>
    </row>
    <row r="622" spans="1:12" x14ac:dyDescent="0.2">
      <c r="A622" s="106">
        <v>1200</v>
      </c>
      <c r="B622" s="107" t="s">
        <v>243</v>
      </c>
      <c r="C622" s="106">
        <v>2229</v>
      </c>
      <c r="D622" s="106">
        <v>5169</v>
      </c>
      <c r="E622" s="108">
        <v>2229000000001</v>
      </c>
      <c r="F622" s="109" t="s">
        <v>20</v>
      </c>
      <c r="G622" s="96">
        <v>30</v>
      </c>
      <c r="I622" s="96">
        <v>30</v>
      </c>
      <c r="J622" s="96">
        <v>0</v>
      </c>
      <c r="K622" s="96">
        <v>35.588000000000001</v>
      </c>
      <c r="L622" s="96">
        <v>23.855</v>
      </c>
    </row>
    <row r="623" spans="1:12" ht="13.5" thickBot="1" x14ac:dyDescent="0.25">
      <c r="A623" s="106"/>
      <c r="B623" s="107"/>
      <c r="C623" s="106"/>
      <c r="D623" s="106"/>
      <c r="E623" s="108"/>
      <c r="F623" s="109" t="s">
        <v>503</v>
      </c>
      <c r="G623" s="96"/>
      <c r="I623" s="96"/>
      <c r="J623" s="96"/>
      <c r="K623" s="96"/>
      <c r="L623" s="96"/>
    </row>
    <row r="624" spans="1:12" x14ac:dyDescent="0.2">
      <c r="A624" s="110"/>
      <c r="B624" s="111" t="s">
        <v>17</v>
      </c>
      <c r="C624" s="112">
        <v>2229</v>
      </c>
      <c r="D624" s="113"/>
      <c r="E624" s="114"/>
      <c r="F624" s="115"/>
      <c r="G624" s="116">
        <f t="shared" ref="G624:L624" si="8">SUM(G621:G623)</f>
        <v>100</v>
      </c>
      <c r="I624" s="116">
        <f t="shared" si="8"/>
        <v>100</v>
      </c>
      <c r="J624" s="116">
        <f t="shared" si="8"/>
        <v>26.289000000000001</v>
      </c>
      <c r="K624" s="116">
        <f t="shared" si="8"/>
        <v>55.213999999999999</v>
      </c>
      <c r="L624" s="116">
        <f t="shared" si="8"/>
        <v>65.241</v>
      </c>
    </row>
    <row r="626" spans="1:12" x14ac:dyDescent="0.2">
      <c r="A626" s="106">
        <v>1200</v>
      </c>
      <c r="B626" s="107" t="s">
        <v>244</v>
      </c>
      <c r="C626" s="106">
        <v>3412</v>
      </c>
      <c r="D626" s="106">
        <v>5137</v>
      </c>
      <c r="E626" s="108">
        <v>3412000000001</v>
      </c>
      <c r="F626" s="109" t="s">
        <v>34</v>
      </c>
      <c r="G626" s="96">
        <v>100</v>
      </c>
      <c r="I626" s="96">
        <v>100</v>
      </c>
      <c r="J626" s="96">
        <v>0</v>
      </c>
      <c r="K626" s="96">
        <v>25</v>
      </c>
      <c r="L626" s="96">
        <v>0</v>
      </c>
    </row>
    <row r="627" spans="1:12" x14ac:dyDescent="0.2">
      <c r="A627" s="106">
        <v>1200</v>
      </c>
      <c r="B627" s="107" t="s">
        <v>245</v>
      </c>
      <c r="C627" s="106">
        <v>3412</v>
      </c>
      <c r="D627" s="106">
        <v>5139</v>
      </c>
      <c r="E627" s="108">
        <v>3412000000001</v>
      </c>
      <c r="F627" s="109" t="s">
        <v>56</v>
      </c>
      <c r="G627" s="96">
        <v>60</v>
      </c>
      <c r="I627" s="96">
        <v>60</v>
      </c>
      <c r="J627" s="96">
        <v>15.051</v>
      </c>
      <c r="K627" s="96">
        <v>21.998999999999999</v>
      </c>
      <c r="L627" s="96">
        <v>3.835</v>
      </c>
    </row>
    <row r="628" spans="1:12" x14ac:dyDescent="0.2">
      <c r="A628" s="106">
        <v>1200</v>
      </c>
      <c r="B628" s="107" t="s">
        <v>245</v>
      </c>
      <c r="C628" s="106">
        <v>3412</v>
      </c>
      <c r="D628" s="106">
        <v>5154</v>
      </c>
      <c r="E628" s="108">
        <v>3412000000001</v>
      </c>
      <c r="F628" s="109" t="s">
        <v>215</v>
      </c>
      <c r="G628" s="96">
        <f>2*100</f>
        <v>200</v>
      </c>
      <c r="I628" s="96">
        <v>100</v>
      </c>
      <c r="J628" s="96">
        <v>23.85</v>
      </c>
      <c r="K628" s="96">
        <v>34.938000000000002</v>
      </c>
      <c r="L628" s="96">
        <v>84.75</v>
      </c>
    </row>
    <row r="629" spans="1:12" x14ac:dyDescent="0.2">
      <c r="A629" s="106">
        <v>1200</v>
      </c>
      <c r="B629" s="107" t="s">
        <v>245</v>
      </c>
      <c r="C629" s="106">
        <v>3412</v>
      </c>
      <c r="D629" s="106">
        <v>5169</v>
      </c>
      <c r="E629" s="108">
        <v>3412000000001</v>
      </c>
      <c r="F629" s="109" t="s">
        <v>275</v>
      </c>
      <c r="G629" s="96">
        <v>30</v>
      </c>
      <c r="I629" s="96">
        <v>30</v>
      </c>
      <c r="J629" s="96">
        <v>28.37</v>
      </c>
      <c r="K629" s="96">
        <v>17.085999999999999</v>
      </c>
      <c r="L629" s="96">
        <v>24.952000000000002</v>
      </c>
    </row>
    <row r="630" spans="1:12" x14ac:dyDescent="0.2">
      <c r="A630" s="106">
        <v>1200</v>
      </c>
      <c r="B630" s="107" t="s">
        <v>245</v>
      </c>
      <c r="C630" s="106">
        <v>3412</v>
      </c>
      <c r="D630" s="106">
        <v>5171</v>
      </c>
      <c r="E630" s="108">
        <v>3412000000001</v>
      </c>
      <c r="F630" s="109" t="s">
        <v>118</v>
      </c>
      <c r="G630" s="96">
        <v>30</v>
      </c>
      <c r="I630" s="96">
        <v>30</v>
      </c>
      <c r="J630" s="96">
        <v>0</v>
      </c>
      <c r="K630" s="96">
        <v>0</v>
      </c>
      <c r="L630" s="96">
        <v>16.847999999999999</v>
      </c>
    </row>
    <row r="631" spans="1:12" ht="13.5" thickBot="1" x14ac:dyDescent="0.25">
      <c r="A631" s="106"/>
      <c r="B631" s="107"/>
      <c r="C631" s="106"/>
      <c r="D631" s="106"/>
      <c r="E631" s="108"/>
      <c r="F631" s="109" t="s">
        <v>503</v>
      </c>
      <c r="G631" s="96"/>
      <c r="I631" s="96"/>
      <c r="J631" s="96"/>
      <c r="K631" s="96"/>
      <c r="L631" s="96"/>
    </row>
    <row r="632" spans="1:12" x14ac:dyDescent="0.2">
      <c r="A632" s="110"/>
      <c r="B632" s="111" t="s">
        <v>17</v>
      </c>
      <c r="C632" s="112">
        <v>3412</v>
      </c>
      <c r="D632" s="113"/>
      <c r="E632" s="114"/>
      <c r="F632" s="115"/>
      <c r="G632" s="116">
        <f>SUM(G626:G631)</f>
        <v>420</v>
      </c>
      <c r="I632" s="116">
        <f>SUM(I626:I631)</f>
        <v>320</v>
      </c>
      <c r="J632" s="116">
        <f>SUM(J626:J631)</f>
        <v>67.271000000000001</v>
      </c>
      <c r="K632" s="116">
        <f>SUM(K626:K631)</f>
        <v>99.022999999999996</v>
      </c>
      <c r="L632" s="116">
        <f>SUM(L626:L631)</f>
        <v>130.38499999999999</v>
      </c>
    </row>
    <row r="634" spans="1:12" x14ac:dyDescent="0.2">
      <c r="A634" s="106">
        <v>1200</v>
      </c>
      <c r="B634" s="107" t="s">
        <v>246</v>
      </c>
      <c r="C634" s="106">
        <v>3632</v>
      </c>
      <c r="D634" s="106">
        <v>5021</v>
      </c>
      <c r="E634" s="108">
        <v>3632000000001</v>
      </c>
      <c r="F634" s="109" t="s">
        <v>247</v>
      </c>
      <c r="G634" s="96">
        <v>120</v>
      </c>
      <c r="I634" s="96">
        <v>120</v>
      </c>
      <c r="J634" s="96">
        <v>48.088999999999999</v>
      </c>
      <c r="K634" s="96">
        <v>87.462000000000003</v>
      </c>
      <c r="L634" s="96">
        <v>105.55200000000001</v>
      </c>
    </row>
    <row r="635" spans="1:12" x14ac:dyDescent="0.2">
      <c r="A635" s="106">
        <v>1200</v>
      </c>
      <c r="B635" s="107" t="s">
        <v>246</v>
      </c>
      <c r="C635" s="106">
        <v>3632</v>
      </c>
      <c r="D635" s="106">
        <v>5031</v>
      </c>
      <c r="E635" s="108">
        <v>3632000000001</v>
      </c>
      <c r="F635" s="109" t="s">
        <v>99</v>
      </c>
      <c r="G635" s="96">
        <v>30</v>
      </c>
      <c r="I635" s="96">
        <v>30</v>
      </c>
      <c r="J635" s="96">
        <v>0.81899999999999995</v>
      </c>
      <c r="K635" s="96">
        <v>12.077999999999999</v>
      </c>
      <c r="L635" s="96">
        <v>18.850000000000001</v>
      </c>
    </row>
    <row r="636" spans="1:12" x14ac:dyDescent="0.2">
      <c r="A636" s="106">
        <v>1200</v>
      </c>
      <c r="B636" s="107" t="s">
        <v>246</v>
      </c>
      <c r="C636" s="106">
        <v>3632</v>
      </c>
      <c r="D636" s="106">
        <v>5032</v>
      </c>
      <c r="E636" s="108">
        <v>3632000000001</v>
      </c>
      <c r="F636" s="109" t="s">
        <v>69</v>
      </c>
      <c r="G636" s="96">
        <v>11</v>
      </c>
      <c r="I636" s="96">
        <v>10.8</v>
      </c>
      <c r="J636" s="96">
        <v>0.29699999999999999</v>
      </c>
      <c r="K636" s="96">
        <v>4.383</v>
      </c>
      <c r="L636" s="96">
        <v>6.8040000000000003</v>
      </c>
    </row>
    <row r="637" spans="1:12" x14ac:dyDescent="0.2">
      <c r="A637" s="106">
        <v>1200</v>
      </c>
      <c r="B637" s="107" t="s">
        <v>246</v>
      </c>
      <c r="C637" s="106">
        <v>3632</v>
      </c>
      <c r="D637" s="106">
        <v>5139</v>
      </c>
      <c r="E637" s="108">
        <v>3632000000001</v>
      </c>
      <c r="F637" s="109" t="s">
        <v>248</v>
      </c>
      <c r="G637" s="96">
        <v>12</v>
      </c>
      <c r="I637" s="96">
        <v>12</v>
      </c>
      <c r="J637" s="96">
        <v>2.31</v>
      </c>
      <c r="K637" s="96">
        <v>4.62</v>
      </c>
      <c r="L637" s="96">
        <v>5.54</v>
      </c>
    </row>
    <row r="638" spans="1:12" x14ac:dyDescent="0.2">
      <c r="A638" s="106">
        <v>1200</v>
      </c>
      <c r="B638" s="107" t="s">
        <v>246</v>
      </c>
      <c r="C638" s="106">
        <v>3632</v>
      </c>
      <c r="D638" s="106">
        <v>5164</v>
      </c>
      <c r="E638" s="108">
        <v>3632000000001</v>
      </c>
      <c r="F638" s="109" t="s">
        <v>249</v>
      </c>
      <c r="G638" s="96">
        <v>0.1</v>
      </c>
      <c r="I638" s="96">
        <v>0.1</v>
      </c>
      <c r="J638" s="96">
        <v>0</v>
      </c>
      <c r="K638" s="96">
        <v>0.1</v>
      </c>
      <c r="L638" s="96">
        <v>0.1</v>
      </c>
    </row>
    <row r="639" spans="1:12" x14ac:dyDescent="0.2">
      <c r="A639" s="106">
        <v>1200</v>
      </c>
      <c r="B639" s="107" t="s">
        <v>246</v>
      </c>
      <c r="C639" s="106">
        <v>3632</v>
      </c>
      <c r="D639" s="106">
        <v>5166</v>
      </c>
      <c r="E639" s="108">
        <v>3632000000001</v>
      </c>
      <c r="F639" s="109" t="s">
        <v>471</v>
      </c>
      <c r="G639" s="96">
        <v>0</v>
      </c>
      <c r="I639" s="96"/>
      <c r="J639" s="96"/>
      <c r="K639" s="96">
        <v>4.2350000000000003</v>
      </c>
      <c r="L639" s="96"/>
    </row>
    <row r="640" spans="1:12" x14ac:dyDescent="0.2">
      <c r="A640" s="106">
        <v>1200</v>
      </c>
      <c r="B640" s="107" t="s">
        <v>246</v>
      </c>
      <c r="C640" s="106">
        <v>3632</v>
      </c>
      <c r="D640" s="106">
        <v>5171</v>
      </c>
      <c r="E640" s="108">
        <v>3632000000001</v>
      </c>
      <c r="F640" s="109" t="s">
        <v>250</v>
      </c>
      <c r="G640" s="96">
        <v>30</v>
      </c>
      <c r="I640" s="96">
        <v>30</v>
      </c>
      <c r="J640" s="96">
        <v>16.2</v>
      </c>
      <c r="K640" s="96">
        <v>22.95</v>
      </c>
      <c r="L640" s="96">
        <v>0</v>
      </c>
    </row>
    <row r="641" spans="1:12" ht="13.5" thickBot="1" x14ac:dyDescent="0.25">
      <c r="A641" s="106"/>
      <c r="B641" s="107"/>
      <c r="C641" s="106"/>
      <c r="D641" s="106"/>
      <c r="E641" s="108"/>
      <c r="F641" s="109" t="s">
        <v>503</v>
      </c>
      <c r="G641" s="96"/>
      <c r="I641" s="96"/>
      <c r="J641" s="96">
        <f>12.064</f>
        <v>12.064</v>
      </c>
      <c r="K641" s="96"/>
      <c r="L641" s="96">
        <v>144.994</v>
      </c>
    </row>
    <row r="642" spans="1:12" x14ac:dyDescent="0.2">
      <c r="A642" s="110"/>
      <c r="B642" s="111" t="s">
        <v>17</v>
      </c>
      <c r="C642" s="112">
        <v>3632</v>
      </c>
      <c r="D642" s="113"/>
      <c r="E642" s="114"/>
      <c r="F642" s="115"/>
      <c r="G642" s="116">
        <f>SUM(G634:G641)</f>
        <v>203.1</v>
      </c>
      <c r="I642" s="116">
        <f>SUM(I634:I641)</f>
        <v>202.9</v>
      </c>
      <c r="J642" s="116">
        <f>SUM(J634:J641)</f>
        <v>79.778999999999996</v>
      </c>
      <c r="K642" s="116">
        <f>SUM(K634:K641)</f>
        <v>135.828</v>
      </c>
      <c r="L642" s="116">
        <f>SUM(L634:L641)</f>
        <v>281.84000000000003</v>
      </c>
    </row>
    <row r="644" spans="1:12" x14ac:dyDescent="0.2">
      <c r="A644" s="106">
        <v>1200</v>
      </c>
      <c r="B644" s="107" t="s">
        <v>251</v>
      </c>
      <c r="C644" s="106">
        <v>3639</v>
      </c>
      <c r="D644" s="106">
        <v>5011</v>
      </c>
      <c r="E644" s="108">
        <v>3639000000001</v>
      </c>
      <c r="F644" s="109" t="s">
        <v>51</v>
      </c>
      <c r="G644" s="96">
        <v>7000</v>
      </c>
      <c r="H644" s="99"/>
      <c r="I644" s="96">
        <v>5800</v>
      </c>
      <c r="J644" s="96">
        <v>4342.7219999999998</v>
      </c>
      <c r="K644" s="96">
        <v>5409.2030000000004</v>
      </c>
      <c r="L644" s="96">
        <v>5244.7960000000003</v>
      </c>
    </row>
    <row r="645" spans="1:12" x14ac:dyDescent="0.2">
      <c r="A645" s="106">
        <v>1200</v>
      </c>
      <c r="B645" s="107" t="s">
        <v>251</v>
      </c>
      <c r="C645" s="106">
        <v>3639</v>
      </c>
      <c r="D645" s="106">
        <v>5021</v>
      </c>
      <c r="E645" s="108">
        <v>3639000000001</v>
      </c>
      <c r="F645" s="109" t="s">
        <v>252</v>
      </c>
      <c r="G645" s="96">
        <v>100</v>
      </c>
      <c r="H645" s="99"/>
      <c r="I645" s="96">
        <v>100</v>
      </c>
      <c r="J645" s="96">
        <v>28.95</v>
      </c>
      <c r="K645" s="96">
        <v>43.094999999999999</v>
      </c>
      <c r="L645" s="96">
        <v>32.5</v>
      </c>
    </row>
    <row r="646" spans="1:12" x14ac:dyDescent="0.2">
      <c r="A646" s="106">
        <v>1200</v>
      </c>
      <c r="B646" s="107" t="s">
        <v>251</v>
      </c>
      <c r="C646" s="106">
        <v>3639</v>
      </c>
      <c r="D646" s="106">
        <v>5031</v>
      </c>
      <c r="E646" s="108">
        <v>3639000000001</v>
      </c>
      <c r="F646" s="109" t="s">
        <v>126</v>
      </c>
      <c r="G646" s="96">
        <v>1750</v>
      </c>
      <c r="H646" s="99"/>
      <c r="I646" s="96">
        <v>1450</v>
      </c>
      <c r="J646" s="96">
        <v>1052.7809999999999</v>
      </c>
      <c r="K646" s="96">
        <v>1317.124</v>
      </c>
      <c r="L646" s="96">
        <v>1285.876</v>
      </c>
    </row>
    <row r="647" spans="1:12" x14ac:dyDescent="0.2">
      <c r="A647" s="106">
        <v>1200</v>
      </c>
      <c r="B647" s="107" t="s">
        <v>251</v>
      </c>
      <c r="C647" s="106">
        <v>3639</v>
      </c>
      <c r="D647" s="106">
        <v>5032</v>
      </c>
      <c r="E647" s="108">
        <v>3639000000001</v>
      </c>
      <c r="F647" s="109" t="s">
        <v>127</v>
      </c>
      <c r="G647" s="96">
        <v>630</v>
      </c>
      <c r="H647" s="99"/>
      <c r="I647" s="96">
        <v>522</v>
      </c>
      <c r="J647" s="96">
        <v>382.06400000000002</v>
      </c>
      <c r="K647" s="96">
        <v>477.98899999999998</v>
      </c>
      <c r="L647" s="96">
        <v>464.44</v>
      </c>
    </row>
    <row r="648" spans="1:12" x14ac:dyDescent="0.2">
      <c r="A648" s="106">
        <v>1200</v>
      </c>
      <c r="B648" s="107" t="s">
        <v>251</v>
      </c>
      <c r="C648" s="106">
        <v>3639</v>
      </c>
      <c r="D648" s="106">
        <v>5131</v>
      </c>
      <c r="E648" s="108">
        <v>3639000000001</v>
      </c>
      <c r="F648" s="109" t="s">
        <v>253</v>
      </c>
      <c r="G648" s="96">
        <v>7</v>
      </c>
      <c r="H648" s="99"/>
      <c r="I648" s="96">
        <v>7</v>
      </c>
      <c r="J648" s="96">
        <v>5.008</v>
      </c>
      <c r="K648" s="96">
        <v>5.9059999999999997</v>
      </c>
      <c r="L648" s="96">
        <v>6.718</v>
      </c>
    </row>
    <row r="649" spans="1:12" x14ac:dyDescent="0.2">
      <c r="A649" s="106">
        <v>1200</v>
      </c>
      <c r="B649" s="107" t="s">
        <v>251</v>
      </c>
      <c r="C649" s="106">
        <v>3639</v>
      </c>
      <c r="D649" s="106">
        <v>5132</v>
      </c>
      <c r="E649" s="108">
        <v>3639000000001</v>
      </c>
      <c r="F649" s="109" t="s">
        <v>33</v>
      </c>
      <c r="G649" s="96">
        <v>35</v>
      </c>
      <c r="H649" s="99"/>
      <c r="I649" s="96">
        <v>25</v>
      </c>
      <c r="J649" s="96">
        <v>6.7789999999999999</v>
      </c>
      <c r="K649" s="96">
        <v>14.882999999999999</v>
      </c>
      <c r="L649" s="96">
        <v>13.46</v>
      </c>
    </row>
    <row r="650" spans="1:12" x14ac:dyDescent="0.2">
      <c r="A650" s="106">
        <v>1200</v>
      </c>
      <c r="B650" s="107" t="s">
        <v>251</v>
      </c>
      <c r="C650" s="106">
        <v>3639</v>
      </c>
      <c r="D650" s="106">
        <v>5134</v>
      </c>
      <c r="E650" s="108">
        <v>3639000000001</v>
      </c>
      <c r="F650" s="109" t="s">
        <v>254</v>
      </c>
      <c r="G650" s="96">
        <v>125</v>
      </c>
      <c r="H650" s="99"/>
      <c r="I650" s="96">
        <v>90</v>
      </c>
      <c r="J650" s="96">
        <v>17.303999999999998</v>
      </c>
      <c r="K650" s="96">
        <v>79.100999999999999</v>
      </c>
      <c r="L650" s="96">
        <v>76.284999999999997</v>
      </c>
    </row>
    <row r="651" spans="1:12" x14ac:dyDescent="0.2">
      <c r="A651" s="106">
        <v>1200</v>
      </c>
      <c r="B651" s="107" t="s">
        <v>251</v>
      </c>
      <c r="C651" s="106">
        <v>3639</v>
      </c>
      <c r="D651" s="106">
        <v>5137</v>
      </c>
      <c r="E651" s="108">
        <v>3639000000001</v>
      </c>
      <c r="F651" s="109" t="s">
        <v>255</v>
      </c>
      <c r="G651" s="96">
        <v>40</v>
      </c>
      <c r="H651" s="99"/>
      <c r="I651" s="96">
        <v>40</v>
      </c>
      <c r="J651" s="96">
        <v>17.486000000000001</v>
      </c>
      <c r="K651" s="96">
        <v>41.231999999999999</v>
      </c>
      <c r="L651" s="96">
        <v>10.683</v>
      </c>
    </row>
    <row r="652" spans="1:12" x14ac:dyDescent="0.2">
      <c r="A652" s="106">
        <v>1200</v>
      </c>
      <c r="B652" s="107" t="s">
        <v>251</v>
      </c>
      <c r="C652" s="106">
        <v>3639</v>
      </c>
      <c r="D652" s="106">
        <v>5139</v>
      </c>
      <c r="E652" s="108">
        <v>3639000000001</v>
      </c>
      <c r="F652" s="109" t="s">
        <v>256</v>
      </c>
      <c r="G652" s="96">
        <v>380</v>
      </c>
      <c r="H652" s="99"/>
      <c r="I652" s="96">
        <v>350</v>
      </c>
      <c r="J652" s="96">
        <v>227.03899999999999</v>
      </c>
      <c r="K652" s="96">
        <v>303.59399999999999</v>
      </c>
      <c r="L652" s="96">
        <v>358.59500000000003</v>
      </c>
    </row>
    <row r="653" spans="1:12" x14ac:dyDescent="0.2">
      <c r="A653" s="106">
        <v>1200</v>
      </c>
      <c r="B653" s="107" t="s">
        <v>251</v>
      </c>
      <c r="C653" s="106">
        <v>3639</v>
      </c>
      <c r="D653" s="106">
        <v>5154</v>
      </c>
      <c r="E653" s="108">
        <v>3639000000001</v>
      </c>
      <c r="F653" s="109" t="s">
        <v>104</v>
      </c>
      <c r="G653" s="96">
        <f>2*200</f>
        <v>400</v>
      </c>
      <c r="H653" s="99"/>
      <c r="I653" s="96">
        <v>200</v>
      </c>
      <c r="J653" s="96">
        <v>148.739</v>
      </c>
      <c r="K653" s="96">
        <v>185.42699999999999</v>
      </c>
      <c r="L653" s="96">
        <v>167.86799999999999</v>
      </c>
    </row>
    <row r="654" spans="1:12" x14ac:dyDescent="0.2">
      <c r="A654" s="106">
        <v>1200</v>
      </c>
      <c r="B654" s="107" t="s">
        <v>251</v>
      </c>
      <c r="C654" s="106">
        <v>3639</v>
      </c>
      <c r="D654" s="106">
        <v>5156</v>
      </c>
      <c r="E654" s="108">
        <v>3639000000001</v>
      </c>
      <c r="F654" s="109" t="s">
        <v>105</v>
      </c>
      <c r="G654" s="96">
        <v>900</v>
      </c>
      <c r="H654" s="99"/>
      <c r="I654" s="96">
        <v>800</v>
      </c>
      <c r="J654" s="96">
        <v>458.16199999999998</v>
      </c>
      <c r="K654" s="96">
        <v>528.94299999999998</v>
      </c>
      <c r="L654" s="96">
        <v>605.23699999999997</v>
      </c>
    </row>
    <row r="655" spans="1:12" x14ac:dyDescent="0.2">
      <c r="A655" s="106">
        <v>1200</v>
      </c>
      <c r="B655" s="107" t="s">
        <v>251</v>
      </c>
      <c r="C655" s="106">
        <v>3639</v>
      </c>
      <c r="D655" s="106">
        <v>5162</v>
      </c>
      <c r="E655" s="108">
        <v>3639000000001</v>
      </c>
      <c r="F655" s="109" t="s">
        <v>106</v>
      </c>
      <c r="G655" s="96">
        <v>80</v>
      </c>
      <c r="H655" s="99"/>
      <c r="I655" s="96">
        <v>55</v>
      </c>
      <c r="J655" s="96">
        <v>51.03</v>
      </c>
      <c r="K655" s="96">
        <v>55.692999999999998</v>
      </c>
      <c r="L655" s="96">
        <v>48.835000000000001</v>
      </c>
    </row>
    <row r="656" spans="1:12" x14ac:dyDescent="0.2">
      <c r="A656" s="106">
        <v>1200</v>
      </c>
      <c r="B656" s="107" t="s">
        <v>251</v>
      </c>
      <c r="C656" s="106">
        <v>3639</v>
      </c>
      <c r="D656" s="106">
        <v>5167</v>
      </c>
      <c r="E656" s="108">
        <v>3639000000001</v>
      </c>
      <c r="F656" s="109" t="s">
        <v>87</v>
      </c>
      <c r="G656" s="96">
        <v>35</v>
      </c>
      <c r="H656" s="99"/>
      <c r="I656" s="96">
        <v>30</v>
      </c>
      <c r="J656" s="96">
        <v>14.62</v>
      </c>
      <c r="K656" s="96">
        <v>11.867000000000001</v>
      </c>
      <c r="L656" s="96">
        <v>19.858000000000001</v>
      </c>
    </row>
    <row r="657" spans="1:12" x14ac:dyDescent="0.2">
      <c r="A657" s="106">
        <v>1200</v>
      </c>
      <c r="B657" s="107" t="s">
        <v>251</v>
      </c>
      <c r="C657" s="106">
        <v>3639</v>
      </c>
      <c r="D657" s="106">
        <v>5169</v>
      </c>
      <c r="E657" s="108">
        <v>3639000000001</v>
      </c>
      <c r="F657" s="109" t="s">
        <v>20</v>
      </c>
      <c r="G657" s="96">
        <v>150</v>
      </c>
      <c r="H657" s="99"/>
      <c r="I657" s="96">
        <v>70</v>
      </c>
      <c r="J657" s="96">
        <v>93.570999999999998</v>
      </c>
      <c r="K657" s="96">
        <v>97.525999999999996</v>
      </c>
      <c r="L657" s="96">
        <v>86.441999999999993</v>
      </c>
    </row>
    <row r="658" spans="1:12" x14ac:dyDescent="0.2">
      <c r="A658" s="106">
        <v>1200</v>
      </c>
      <c r="B658" s="107" t="s">
        <v>251</v>
      </c>
      <c r="C658" s="106">
        <v>3639</v>
      </c>
      <c r="D658" s="106">
        <v>5171</v>
      </c>
      <c r="E658" s="108">
        <v>3639000000001</v>
      </c>
      <c r="F658" s="109" t="s">
        <v>118</v>
      </c>
      <c r="G658" s="96">
        <v>700</v>
      </c>
      <c r="H658" s="99"/>
      <c r="I658" s="96">
        <v>600</v>
      </c>
      <c r="J658" s="96">
        <v>500.98599999999999</v>
      </c>
      <c r="K658" s="96">
        <v>550.99900000000002</v>
      </c>
      <c r="L658" s="96">
        <v>484.108</v>
      </c>
    </row>
    <row r="659" spans="1:12" x14ac:dyDescent="0.2">
      <c r="A659" s="106">
        <v>1200</v>
      </c>
      <c r="B659" s="107" t="s">
        <v>251</v>
      </c>
      <c r="C659" s="106">
        <v>3639</v>
      </c>
      <c r="D659" s="106">
        <v>5173</v>
      </c>
      <c r="E659" s="108">
        <v>3639000000001</v>
      </c>
      <c r="F659" s="109" t="s">
        <v>60</v>
      </c>
      <c r="G659" s="96">
        <v>5</v>
      </c>
      <c r="H659" s="99"/>
      <c r="I659" s="96">
        <v>5</v>
      </c>
      <c r="J659" s="96">
        <v>0.48</v>
      </c>
      <c r="K659" s="96">
        <v>1.752</v>
      </c>
      <c r="L659" s="96">
        <v>2.8370000000000002</v>
      </c>
    </row>
    <row r="660" spans="1:12" x14ac:dyDescent="0.2">
      <c r="A660" s="106">
        <v>1200</v>
      </c>
      <c r="B660" s="107" t="s">
        <v>251</v>
      </c>
      <c r="C660" s="106">
        <v>3639</v>
      </c>
      <c r="D660" s="106">
        <v>5175</v>
      </c>
      <c r="E660" s="108">
        <v>3639000000001</v>
      </c>
      <c r="F660" s="109" t="s">
        <v>28</v>
      </c>
      <c r="G660" s="96">
        <v>5</v>
      </c>
      <c r="H660" s="99"/>
      <c r="I660" s="96">
        <v>5</v>
      </c>
      <c r="J660" s="96">
        <v>2.3199999999999998</v>
      </c>
      <c r="K660" s="96">
        <v>3.4180000000000001</v>
      </c>
      <c r="L660" s="96">
        <v>4.7279999999999998</v>
      </c>
    </row>
    <row r="661" spans="1:12" ht="13.5" thickBot="1" x14ac:dyDescent="0.25">
      <c r="A661" s="106"/>
      <c r="B661" s="107"/>
      <c r="C661" s="106"/>
      <c r="D661" s="106"/>
      <c r="E661" s="108"/>
      <c r="F661" s="109" t="s">
        <v>503</v>
      </c>
      <c r="G661" s="96"/>
      <c r="H661" s="99"/>
      <c r="I661" s="96"/>
      <c r="J661" s="96"/>
      <c r="K661" s="96"/>
      <c r="L661" s="96">
        <v>2.1</v>
      </c>
    </row>
    <row r="662" spans="1:12" x14ac:dyDescent="0.2">
      <c r="A662" s="110"/>
      <c r="B662" s="111" t="s">
        <v>17</v>
      </c>
      <c r="C662" s="112">
        <v>3639</v>
      </c>
      <c r="D662" s="113"/>
      <c r="E662" s="114"/>
      <c r="F662" s="115"/>
      <c r="G662" s="116">
        <f>SUM(G644:G661)</f>
        <v>12342</v>
      </c>
      <c r="H662" s="99"/>
      <c r="I662" s="116">
        <f>SUM(I644:I661)</f>
        <v>10149</v>
      </c>
      <c r="J662" s="116">
        <f>SUM(J644:J661)</f>
        <v>7350.0409999999983</v>
      </c>
      <c r="K662" s="116">
        <f>SUM(K644:K661)</f>
        <v>9127.7519999999986</v>
      </c>
      <c r="L662" s="116">
        <f>SUM(L644:L661)</f>
        <v>8915.3659999999982</v>
      </c>
    </row>
    <row r="664" spans="1:12" x14ac:dyDescent="0.2">
      <c r="A664" s="106">
        <v>1200</v>
      </c>
      <c r="B664" s="107" t="s">
        <v>257</v>
      </c>
      <c r="C664" s="106">
        <v>3722</v>
      </c>
      <c r="D664" s="106">
        <v>5169</v>
      </c>
      <c r="E664" s="108">
        <v>3722000000001</v>
      </c>
      <c r="F664" s="109" t="s">
        <v>258</v>
      </c>
      <c r="G664" s="96">
        <v>12000</v>
      </c>
      <c r="I664" s="96">
        <v>10000</v>
      </c>
      <c r="J664" s="96">
        <v>6683.5410000000002</v>
      </c>
      <c r="K664" s="96">
        <v>10692.842000000001</v>
      </c>
      <c r="L664" s="96">
        <v>7816.2479999999996</v>
      </c>
    </row>
    <row r="665" spans="1:12" ht="13.5" thickBot="1" x14ac:dyDescent="0.25">
      <c r="A665" s="106"/>
      <c r="B665" s="107"/>
      <c r="C665" s="106"/>
      <c r="D665" s="106"/>
      <c r="E665" s="108"/>
      <c r="F665" s="109" t="s">
        <v>503</v>
      </c>
      <c r="G665" s="96"/>
      <c r="I665" s="96"/>
      <c r="J665" s="96"/>
      <c r="K665" s="96"/>
      <c r="L665" s="96"/>
    </row>
    <row r="666" spans="1:12" x14ac:dyDescent="0.2">
      <c r="A666" s="110"/>
      <c r="B666" s="111" t="s">
        <v>17</v>
      </c>
      <c r="C666" s="112">
        <v>3722</v>
      </c>
      <c r="D666" s="113"/>
      <c r="E666" s="114"/>
      <c r="F666" s="115"/>
      <c r="G666" s="116">
        <f t="shared" ref="G666:L666" si="9">SUM(G664:G665)</f>
        <v>12000</v>
      </c>
      <c r="I666" s="116">
        <f t="shared" si="9"/>
        <v>10000</v>
      </c>
      <c r="J666" s="116">
        <f t="shared" si="9"/>
        <v>6683.5410000000002</v>
      </c>
      <c r="K666" s="116">
        <f t="shared" si="9"/>
        <v>10692.842000000001</v>
      </c>
      <c r="L666" s="116">
        <f t="shared" si="9"/>
        <v>7816.2479999999996</v>
      </c>
    </row>
    <row r="668" spans="1:12" x14ac:dyDescent="0.2">
      <c r="A668" s="106">
        <v>1200</v>
      </c>
      <c r="B668" s="107" t="s">
        <v>260</v>
      </c>
      <c r="C668" s="106">
        <v>3723</v>
      </c>
      <c r="D668" s="106">
        <v>5136</v>
      </c>
      <c r="E668" s="108">
        <v>3723000000001</v>
      </c>
      <c r="F668" s="109" t="s">
        <v>261</v>
      </c>
      <c r="G668" s="96">
        <v>1</v>
      </c>
      <c r="I668" s="96">
        <v>1</v>
      </c>
      <c r="J668" s="96">
        <v>0.60499999999999998</v>
      </c>
      <c r="K668" s="96">
        <v>0.96</v>
      </c>
      <c r="L668" s="96">
        <v>0.96</v>
      </c>
    </row>
    <row r="669" spans="1:12" x14ac:dyDescent="0.2">
      <c r="A669" s="106">
        <v>1200</v>
      </c>
      <c r="B669" s="107" t="s">
        <v>260</v>
      </c>
      <c r="C669" s="106">
        <v>3723</v>
      </c>
      <c r="D669" s="106">
        <v>5138</v>
      </c>
      <c r="E669" s="108">
        <v>3723000000001</v>
      </c>
      <c r="F669" s="109" t="s">
        <v>472</v>
      </c>
      <c r="G669" s="96">
        <v>0</v>
      </c>
      <c r="I669" s="96"/>
      <c r="J669" s="96"/>
      <c r="K669" s="96">
        <v>30.204999999999998</v>
      </c>
      <c r="L669" s="96"/>
    </row>
    <row r="670" spans="1:12" x14ac:dyDescent="0.2">
      <c r="A670" s="106">
        <v>1200</v>
      </c>
      <c r="B670" s="107" t="s">
        <v>260</v>
      </c>
      <c r="C670" s="106">
        <v>3723</v>
      </c>
      <c r="D670" s="106">
        <v>5139</v>
      </c>
      <c r="E670" s="108">
        <v>3723000000001</v>
      </c>
      <c r="F670" s="109" t="s">
        <v>262</v>
      </c>
      <c r="G670" s="96">
        <v>180</v>
      </c>
      <c r="I670" s="96">
        <v>120</v>
      </c>
      <c r="J670" s="96">
        <v>76.456000000000003</v>
      </c>
      <c r="K670" s="96">
        <v>117.255</v>
      </c>
      <c r="L670" s="96">
        <v>100.383</v>
      </c>
    </row>
    <row r="671" spans="1:12" ht="13.5" thickBot="1" x14ac:dyDescent="0.25">
      <c r="A671" s="106"/>
      <c r="B671" s="107"/>
      <c r="C671" s="106"/>
      <c r="D671" s="106"/>
      <c r="E671" s="108"/>
      <c r="F671" s="109" t="s">
        <v>503</v>
      </c>
      <c r="G671" s="96"/>
      <c r="I671" s="96"/>
      <c r="J671" s="96"/>
      <c r="K671" s="96"/>
      <c r="L671" s="96">
        <v>36.299999999999997</v>
      </c>
    </row>
    <row r="672" spans="1:12" x14ac:dyDescent="0.2">
      <c r="A672" s="110"/>
      <c r="B672" s="111" t="s">
        <v>17</v>
      </c>
      <c r="C672" s="112">
        <v>3723</v>
      </c>
      <c r="D672" s="113"/>
      <c r="E672" s="114"/>
      <c r="F672" s="115"/>
      <c r="G672" s="116">
        <f>SUM(G668:G671)</f>
        <v>181</v>
      </c>
      <c r="I672" s="116">
        <f>SUM(I668:I671)</f>
        <v>121</v>
      </c>
      <c r="J672" s="116">
        <f>SUM(J668:J671)</f>
        <v>77.061000000000007</v>
      </c>
      <c r="K672" s="116">
        <f>SUM(K668:K671)</f>
        <v>148.41999999999999</v>
      </c>
      <c r="L672" s="116">
        <f>SUM(L668:L671)</f>
        <v>137.64299999999997</v>
      </c>
    </row>
    <row r="674" spans="1:12" x14ac:dyDescent="0.2">
      <c r="A674" s="106">
        <v>1200</v>
      </c>
      <c r="B674" s="107" t="s">
        <v>263</v>
      </c>
      <c r="C674" s="106">
        <v>3729</v>
      </c>
      <c r="D674" s="106">
        <v>5169</v>
      </c>
      <c r="E674" s="108">
        <v>12008</v>
      </c>
      <c r="F674" s="109" t="s">
        <v>623</v>
      </c>
      <c r="G674" s="96">
        <v>0</v>
      </c>
      <c r="I674" s="96">
        <v>70</v>
      </c>
      <c r="J674" s="96"/>
      <c r="K674" s="96"/>
      <c r="L674" s="96"/>
    </row>
    <row r="675" spans="1:12" x14ac:dyDescent="0.2">
      <c r="A675" s="106">
        <v>1200</v>
      </c>
      <c r="B675" s="107" t="s">
        <v>263</v>
      </c>
      <c r="C675" s="106">
        <v>3729</v>
      </c>
      <c r="D675" s="106">
        <v>5362</v>
      </c>
      <c r="E675" s="108">
        <v>12008</v>
      </c>
      <c r="F675" s="109" t="s">
        <v>649</v>
      </c>
      <c r="G675" s="96">
        <v>35</v>
      </c>
      <c r="I675" s="96">
        <v>45</v>
      </c>
      <c r="J675" s="96">
        <v>6.6479999999999997</v>
      </c>
      <c r="K675" s="96">
        <v>53.189459999999997</v>
      </c>
      <c r="L675" s="96">
        <v>0</v>
      </c>
    </row>
    <row r="676" spans="1:12" ht="13.5" thickBot="1" x14ac:dyDescent="0.25">
      <c r="A676" s="106"/>
      <c r="B676" s="107"/>
      <c r="C676" s="106"/>
      <c r="D676" s="106"/>
      <c r="E676" s="108"/>
      <c r="F676" s="109" t="s">
        <v>503</v>
      </c>
      <c r="G676" s="96"/>
      <c r="I676" s="96"/>
      <c r="J676" s="96">
        <f>8.349</f>
        <v>8.3490000000000002</v>
      </c>
      <c r="K676" s="96">
        <f>2.783+0.399</f>
        <v>3.1819999999999999</v>
      </c>
      <c r="L676" s="96"/>
    </row>
    <row r="677" spans="1:12" x14ac:dyDescent="0.2">
      <c r="A677" s="110"/>
      <c r="B677" s="111" t="s">
        <v>17</v>
      </c>
      <c r="C677" s="112">
        <v>3729</v>
      </c>
      <c r="D677" s="113"/>
      <c r="E677" s="114"/>
      <c r="F677" s="115"/>
      <c r="G677" s="116">
        <f>SUM(G674:G676)</f>
        <v>35</v>
      </c>
      <c r="I677" s="116">
        <f>SUM(I674:I676)</f>
        <v>115</v>
      </c>
      <c r="J677" s="116">
        <f>SUM(J674:J676)</f>
        <v>14.997</v>
      </c>
      <c r="K677" s="116">
        <f>SUM(K674:K676)</f>
        <v>56.371459999999999</v>
      </c>
      <c r="L677" s="116">
        <f>SUM(L674:L676)</f>
        <v>0</v>
      </c>
    </row>
    <row r="679" spans="1:12" x14ac:dyDescent="0.2">
      <c r="A679" s="106">
        <v>1200</v>
      </c>
      <c r="B679" s="107" t="s">
        <v>264</v>
      </c>
      <c r="C679" s="106">
        <v>3745</v>
      </c>
      <c r="D679" s="106">
        <v>5132</v>
      </c>
      <c r="E679" s="108">
        <v>3745000000001</v>
      </c>
      <c r="F679" s="109" t="s">
        <v>33</v>
      </c>
      <c r="G679" s="96">
        <v>0</v>
      </c>
      <c r="I679" s="96"/>
      <c r="J679" s="96"/>
      <c r="K679" s="96">
        <v>0</v>
      </c>
      <c r="L679" s="96">
        <v>7</v>
      </c>
    </row>
    <row r="680" spans="1:12" x14ac:dyDescent="0.2">
      <c r="A680" s="106">
        <v>1200</v>
      </c>
      <c r="B680" s="107" t="s">
        <v>264</v>
      </c>
      <c r="C680" s="106">
        <v>3745</v>
      </c>
      <c r="D680" s="106">
        <v>5134</v>
      </c>
      <c r="E680" s="108">
        <v>3745000000001</v>
      </c>
      <c r="F680" s="109" t="s">
        <v>254</v>
      </c>
      <c r="G680" s="96">
        <v>0</v>
      </c>
      <c r="I680" s="96"/>
      <c r="J680" s="96"/>
      <c r="K680" s="96">
        <v>22.600999999999999</v>
      </c>
      <c r="L680" s="96">
        <v>9.9220000000000006</v>
      </c>
    </row>
    <row r="681" spans="1:12" x14ac:dyDescent="0.2">
      <c r="A681" s="106">
        <v>1200</v>
      </c>
      <c r="B681" s="107" t="s">
        <v>264</v>
      </c>
      <c r="C681" s="106">
        <v>3745</v>
      </c>
      <c r="D681" s="106">
        <v>5136</v>
      </c>
      <c r="E681" s="108">
        <v>3745000000001</v>
      </c>
      <c r="F681" s="109" t="s">
        <v>55</v>
      </c>
      <c r="G681" s="96">
        <v>1</v>
      </c>
      <c r="I681" s="96">
        <v>1</v>
      </c>
      <c r="J681" s="96">
        <v>0</v>
      </c>
      <c r="K681" s="96">
        <v>0</v>
      </c>
      <c r="L681" s="96">
        <v>0</v>
      </c>
    </row>
    <row r="682" spans="1:12" x14ac:dyDescent="0.2">
      <c r="A682" s="106">
        <v>1200</v>
      </c>
      <c r="B682" s="107" t="s">
        <v>264</v>
      </c>
      <c r="C682" s="106">
        <v>3745</v>
      </c>
      <c r="D682" s="106">
        <v>5137</v>
      </c>
      <c r="E682" s="108">
        <v>3745000000001</v>
      </c>
      <c r="F682" s="109" t="s">
        <v>34</v>
      </c>
      <c r="G682" s="96">
        <v>100</v>
      </c>
      <c r="I682" s="96">
        <v>100</v>
      </c>
      <c r="J682" s="96">
        <v>22.13</v>
      </c>
      <c r="K682" s="96">
        <v>53.847000000000001</v>
      </c>
      <c r="L682" s="96">
        <v>41.908000000000001</v>
      </c>
    </row>
    <row r="683" spans="1:12" x14ac:dyDescent="0.2">
      <c r="A683" s="106">
        <v>1200</v>
      </c>
      <c r="B683" s="107" t="s">
        <v>264</v>
      </c>
      <c r="C683" s="106">
        <v>3745</v>
      </c>
      <c r="D683" s="106">
        <v>5139</v>
      </c>
      <c r="E683" s="108">
        <v>3745000000001</v>
      </c>
      <c r="F683" s="109" t="s">
        <v>56</v>
      </c>
      <c r="G683" s="96">
        <v>300</v>
      </c>
      <c r="I683" s="96">
        <v>200</v>
      </c>
      <c r="J683" s="96">
        <v>202.202</v>
      </c>
      <c r="K683" s="96">
        <v>201.815</v>
      </c>
      <c r="L683" s="96">
        <v>156.05000000000001</v>
      </c>
    </row>
    <row r="684" spans="1:12" x14ac:dyDescent="0.2">
      <c r="A684" s="106">
        <v>1200</v>
      </c>
      <c r="B684" s="107" t="s">
        <v>264</v>
      </c>
      <c r="C684" s="106">
        <v>3745</v>
      </c>
      <c r="D684" s="106">
        <v>5169</v>
      </c>
      <c r="E684" s="108">
        <v>3745000000001</v>
      </c>
      <c r="F684" s="109" t="s">
        <v>648</v>
      </c>
      <c r="G684" s="96">
        <v>690</v>
      </c>
      <c r="I684" s="96">
        <v>690</v>
      </c>
      <c r="J684" s="96">
        <v>240.905</v>
      </c>
      <c r="K684" s="96">
        <v>304.67099999999999</v>
      </c>
      <c r="L684" s="96">
        <v>171.16399999999999</v>
      </c>
    </row>
    <row r="685" spans="1:12" x14ac:dyDescent="0.2">
      <c r="A685" s="106">
        <v>1200</v>
      </c>
      <c r="B685" s="107" t="s">
        <v>264</v>
      </c>
      <c r="C685" s="106">
        <v>3745</v>
      </c>
      <c r="D685" s="106">
        <v>5169</v>
      </c>
      <c r="E685" s="108">
        <v>3745000000001</v>
      </c>
      <c r="F685" s="109" t="s">
        <v>473</v>
      </c>
      <c r="G685" s="96">
        <v>0</v>
      </c>
      <c r="I685" s="96"/>
      <c r="J685" s="96"/>
      <c r="K685" s="96"/>
      <c r="L685" s="96"/>
    </row>
    <row r="686" spans="1:12" x14ac:dyDescent="0.2">
      <c r="A686" s="106">
        <v>1200</v>
      </c>
      <c r="B686" s="107" t="s">
        <v>264</v>
      </c>
      <c r="C686" s="106">
        <v>3745</v>
      </c>
      <c r="D686" s="106">
        <v>5171</v>
      </c>
      <c r="E686" s="108">
        <v>3745000000001</v>
      </c>
      <c r="F686" s="109" t="s">
        <v>118</v>
      </c>
      <c r="G686" s="96">
        <v>70</v>
      </c>
      <c r="I686" s="96">
        <v>70</v>
      </c>
      <c r="J686" s="96">
        <v>0</v>
      </c>
      <c r="K686" s="96">
        <v>56.703000000000003</v>
      </c>
      <c r="L686" s="96">
        <v>106.47499999999999</v>
      </c>
    </row>
    <row r="687" spans="1:12" ht="13.5" thickBot="1" x14ac:dyDescent="0.25">
      <c r="A687" s="106"/>
      <c r="B687" s="107"/>
      <c r="C687" s="106"/>
      <c r="D687" s="106"/>
      <c r="E687" s="108"/>
      <c r="F687" s="109" t="s">
        <v>503</v>
      </c>
      <c r="G687" s="96"/>
      <c r="I687" s="96"/>
      <c r="J687" s="96"/>
      <c r="K687" s="96"/>
      <c r="L687" s="96"/>
    </row>
    <row r="688" spans="1:12" x14ac:dyDescent="0.2">
      <c r="A688" s="110"/>
      <c r="B688" s="111" t="s">
        <v>17</v>
      </c>
      <c r="C688" s="112">
        <v>3745</v>
      </c>
      <c r="D688" s="113"/>
      <c r="E688" s="114"/>
      <c r="F688" s="115"/>
      <c r="G688" s="116">
        <f>SUM(G679:G687)</f>
        <v>1161</v>
      </c>
      <c r="I688" s="116">
        <f>SUM(I679:I687)</f>
        <v>1061</v>
      </c>
      <c r="J688" s="116">
        <f>SUM(J679:J687)</f>
        <v>465.23699999999997</v>
      </c>
      <c r="K688" s="116">
        <f>SUM(K679:K687)</f>
        <v>639.63699999999994</v>
      </c>
      <c r="L688" s="116">
        <f>SUM(L679:L687)</f>
        <v>492.51900000000001</v>
      </c>
    </row>
    <row r="690" spans="1:12" x14ac:dyDescent="0.2">
      <c r="A690" s="124"/>
      <c r="B690" s="125" t="s">
        <v>266</v>
      </c>
      <c r="C690" s="126"/>
      <c r="D690" s="127"/>
      <c r="E690" s="128"/>
      <c r="F690" s="129"/>
      <c r="G690" s="130">
        <f>SUM(G688,G677,G672,G666,G662,G642,G632,G624,G619,G611,G607)</f>
        <v>27222.1</v>
      </c>
      <c r="I690" s="130">
        <f>SUM(I688,I677,I672,I666,I662,I642,I632,I624,I619,I611,I607)</f>
        <v>22418.9</v>
      </c>
      <c r="J690" s="130">
        <f>SUM(J688,J677,J672,J666,J662,J642,J632,J624,J619,J611,J607)</f>
        <v>14978.425000000001</v>
      </c>
      <c r="K690" s="130">
        <f>SUM(K688,K677,K672,K666,K662,K642,K632,K624,K619,K611,K607)</f>
        <v>21040.109460000003</v>
      </c>
      <c r="L690" s="130">
        <f>SUM(L688,L677,L672,L666,L662,L642,L632,L624,L619,L611,L607)</f>
        <v>18155.154999999999</v>
      </c>
    </row>
    <row r="693" spans="1:12" x14ac:dyDescent="0.2">
      <c r="A693" s="106">
        <v>1300</v>
      </c>
      <c r="B693" s="107" t="s">
        <v>267</v>
      </c>
      <c r="C693" s="106">
        <v>5512</v>
      </c>
      <c r="D693" s="106">
        <v>5011</v>
      </c>
      <c r="E693" s="108">
        <v>5512000000001</v>
      </c>
      <c r="F693" s="109" t="s">
        <v>268</v>
      </c>
      <c r="G693" s="96">
        <v>475</v>
      </c>
      <c r="I693" s="96">
        <v>450</v>
      </c>
      <c r="J693" s="96">
        <v>321.298</v>
      </c>
      <c r="K693" s="96">
        <v>431.56200000000001</v>
      </c>
      <c r="L693" s="96">
        <v>415.03199999999998</v>
      </c>
    </row>
    <row r="694" spans="1:12" x14ac:dyDescent="0.2">
      <c r="A694" s="106">
        <v>1300</v>
      </c>
      <c r="B694" s="107" t="s">
        <v>267</v>
      </c>
      <c r="C694" s="106">
        <v>5512</v>
      </c>
      <c r="D694" s="106">
        <v>5031</v>
      </c>
      <c r="E694" s="108">
        <v>5512000000001</v>
      </c>
      <c r="F694" s="109" t="s">
        <v>269</v>
      </c>
      <c r="G694" s="96">
        <v>118</v>
      </c>
      <c r="I694" s="96">
        <v>113</v>
      </c>
      <c r="J694" s="96">
        <v>79.680000000000007</v>
      </c>
      <c r="K694" s="96">
        <v>107.027</v>
      </c>
      <c r="L694" s="96">
        <v>103.398</v>
      </c>
    </row>
    <row r="695" spans="1:12" x14ac:dyDescent="0.2">
      <c r="A695" s="106">
        <v>1300</v>
      </c>
      <c r="B695" s="107" t="s">
        <v>267</v>
      </c>
      <c r="C695" s="106">
        <v>5512</v>
      </c>
      <c r="D695" s="106">
        <v>5032</v>
      </c>
      <c r="E695" s="108">
        <v>5512000000001</v>
      </c>
      <c r="F695" s="109" t="s">
        <v>54</v>
      </c>
      <c r="G695" s="96">
        <v>43</v>
      </c>
      <c r="I695" s="96">
        <v>41</v>
      </c>
      <c r="J695" s="96">
        <v>28.619</v>
      </c>
      <c r="K695" s="96">
        <v>38.841999999999999</v>
      </c>
      <c r="L695" s="96">
        <v>37.353999999999999</v>
      </c>
    </row>
    <row r="696" spans="1:12" x14ac:dyDescent="0.2">
      <c r="A696" s="106">
        <v>1300</v>
      </c>
      <c r="B696" s="107" t="s">
        <v>267</v>
      </c>
      <c r="C696" s="106">
        <v>5512</v>
      </c>
      <c r="D696" s="106">
        <v>5132</v>
      </c>
      <c r="E696" s="108">
        <v>5512000000001</v>
      </c>
      <c r="F696" s="109" t="s">
        <v>33</v>
      </c>
      <c r="G696" s="96">
        <v>240</v>
      </c>
      <c r="I696" s="96">
        <v>160</v>
      </c>
      <c r="J696" s="96">
        <v>65.483999999999995</v>
      </c>
      <c r="K696" s="96">
        <v>116.01900000000001</v>
      </c>
      <c r="L696" s="96">
        <f>220.49+10.316</f>
        <v>230.80600000000001</v>
      </c>
    </row>
    <row r="697" spans="1:12" x14ac:dyDescent="0.2">
      <c r="A697" s="106">
        <v>1300</v>
      </c>
      <c r="B697" s="107" t="s">
        <v>267</v>
      </c>
      <c r="C697" s="106">
        <v>5512</v>
      </c>
      <c r="D697" s="106">
        <v>5134</v>
      </c>
      <c r="E697" s="108">
        <v>5512000000001</v>
      </c>
      <c r="F697" s="109" t="s">
        <v>270</v>
      </c>
      <c r="G697" s="96">
        <v>70</v>
      </c>
      <c r="I697" s="96">
        <v>80</v>
      </c>
      <c r="J697" s="96">
        <v>0.67800000000000005</v>
      </c>
      <c r="K697" s="96">
        <v>40.076999999999998</v>
      </c>
      <c r="L697" s="96">
        <v>85.855000000000004</v>
      </c>
    </row>
    <row r="698" spans="1:12" x14ac:dyDescent="0.2">
      <c r="A698" s="106">
        <v>1300</v>
      </c>
      <c r="B698" s="107" t="s">
        <v>267</v>
      </c>
      <c r="C698" s="106">
        <v>5512</v>
      </c>
      <c r="D698" s="106">
        <v>5137</v>
      </c>
      <c r="E698" s="108">
        <v>5512000000001</v>
      </c>
      <c r="F698" s="109" t="s">
        <v>34</v>
      </c>
      <c r="G698" s="96">
        <v>140</v>
      </c>
      <c r="I698" s="96">
        <v>140</v>
      </c>
      <c r="J698" s="96">
        <v>33.162999999999997</v>
      </c>
      <c r="K698" s="96">
        <v>129.184</v>
      </c>
      <c r="L698" s="96">
        <v>183.46799999999999</v>
      </c>
    </row>
    <row r="699" spans="1:12" x14ac:dyDescent="0.2">
      <c r="A699" s="106">
        <v>1300</v>
      </c>
      <c r="B699" s="107" t="s">
        <v>267</v>
      </c>
      <c r="C699" s="106">
        <v>5512</v>
      </c>
      <c r="D699" s="106">
        <v>5139</v>
      </c>
      <c r="E699" s="108">
        <v>5512000000001</v>
      </c>
      <c r="F699" s="109" t="s">
        <v>271</v>
      </c>
      <c r="G699" s="96">
        <v>220</v>
      </c>
      <c r="I699" s="96">
        <v>290</v>
      </c>
      <c r="J699" s="96">
        <v>57.656999999999996</v>
      </c>
      <c r="K699" s="96">
        <v>234.55099999999999</v>
      </c>
      <c r="L699" s="96">
        <v>237.22499999999999</v>
      </c>
    </row>
    <row r="700" spans="1:12" x14ac:dyDescent="0.2">
      <c r="A700" s="106">
        <v>1300</v>
      </c>
      <c r="B700" s="107" t="s">
        <v>267</v>
      </c>
      <c r="C700" s="106">
        <v>5512</v>
      </c>
      <c r="D700" s="106">
        <v>5153</v>
      </c>
      <c r="E700" s="108">
        <v>5512000000001</v>
      </c>
      <c r="F700" s="109" t="s">
        <v>214</v>
      </c>
      <c r="G700" s="96">
        <f>2*40</f>
        <v>80</v>
      </c>
      <c r="I700" s="96">
        <v>50</v>
      </c>
      <c r="J700" s="96">
        <v>15</v>
      </c>
      <c r="K700" s="96">
        <v>23.535</v>
      </c>
      <c r="L700" s="96">
        <v>17.706</v>
      </c>
    </row>
    <row r="701" spans="1:12" x14ac:dyDescent="0.2">
      <c r="A701" s="106">
        <v>1300</v>
      </c>
      <c r="B701" s="107" t="s">
        <v>267</v>
      </c>
      <c r="C701" s="106">
        <v>5512</v>
      </c>
      <c r="D701" s="106">
        <v>5154</v>
      </c>
      <c r="E701" s="108">
        <v>5512000000001</v>
      </c>
      <c r="F701" s="109" t="s">
        <v>272</v>
      </c>
      <c r="G701" s="96">
        <f>2*70</f>
        <v>140</v>
      </c>
      <c r="I701" s="96">
        <v>60</v>
      </c>
      <c r="J701" s="96">
        <v>36.494999999999997</v>
      </c>
      <c r="K701" s="96">
        <v>49.204000000000001</v>
      </c>
      <c r="L701" s="96">
        <v>49.503</v>
      </c>
    </row>
    <row r="702" spans="1:12" x14ac:dyDescent="0.2">
      <c r="A702" s="106">
        <v>1300</v>
      </c>
      <c r="B702" s="107" t="s">
        <v>267</v>
      </c>
      <c r="C702" s="106">
        <v>5512</v>
      </c>
      <c r="D702" s="106">
        <v>5156</v>
      </c>
      <c r="E702" s="108">
        <v>5512000000001</v>
      </c>
      <c r="F702" s="109" t="s">
        <v>105</v>
      </c>
      <c r="G702" s="96">
        <v>110</v>
      </c>
      <c r="I702" s="96">
        <v>120</v>
      </c>
      <c r="J702" s="96">
        <v>61.033999999999999</v>
      </c>
      <c r="K702" s="96">
        <f>64.99+3.2</f>
        <v>68.19</v>
      </c>
      <c r="L702" s="96">
        <f>63.554+7.493</f>
        <v>71.046999999999997</v>
      </c>
    </row>
    <row r="703" spans="1:12" x14ac:dyDescent="0.2">
      <c r="A703" s="106">
        <v>1300</v>
      </c>
      <c r="B703" s="107" t="s">
        <v>267</v>
      </c>
      <c r="C703" s="106">
        <v>5512</v>
      </c>
      <c r="D703" s="106">
        <v>5162</v>
      </c>
      <c r="E703" s="108">
        <v>5512000000001</v>
      </c>
      <c r="F703" s="109" t="s">
        <v>106</v>
      </c>
      <c r="G703" s="96">
        <v>39</v>
      </c>
      <c r="I703" s="96">
        <v>39</v>
      </c>
      <c r="J703" s="96">
        <v>19.204000000000001</v>
      </c>
      <c r="K703" s="96">
        <v>32.091000000000001</v>
      </c>
      <c r="L703" s="96">
        <v>31.745999999999999</v>
      </c>
    </row>
    <row r="704" spans="1:12" x14ac:dyDescent="0.2">
      <c r="A704" s="106">
        <v>1300</v>
      </c>
      <c r="B704" s="107" t="s">
        <v>267</v>
      </c>
      <c r="C704" s="106">
        <v>5512</v>
      </c>
      <c r="D704" s="106">
        <v>5163</v>
      </c>
      <c r="E704" s="108">
        <v>5512000000001</v>
      </c>
      <c r="F704" s="109" t="s">
        <v>273</v>
      </c>
      <c r="G704" s="96">
        <v>29</v>
      </c>
      <c r="I704" s="96">
        <v>29</v>
      </c>
      <c r="J704" s="96">
        <v>25.72</v>
      </c>
      <c r="K704" s="96">
        <v>25.62</v>
      </c>
      <c r="L704" s="96">
        <v>27.815999999999999</v>
      </c>
    </row>
    <row r="705" spans="1:12" x14ac:dyDescent="0.2">
      <c r="A705" s="106">
        <v>1300</v>
      </c>
      <c r="B705" s="107" t="s">
        <v>267</v>
      </c>
      <c r="C705" s="106">
        <v>5512</v>
      </c>
      <c r="D705" s="106">
        <v>5167</v>
      </c>
      <c r="E705" s="108">
        <v>5512000000001</v>
      </c>
      <c r="F705" s="109" t="s">
        <v>87</v>
      </c>
      <c r="G705" s="96">
        <v>60</v>
      </c>
      <c r="I705" s="96">
        <v>60</v>
      </c>
      <c r="J705" s="96">
        <v>30.952000000000002</v>
      </c>
      <c r="K705" s="96">
        <v>16</v>
      </c>
      <c r="L705" s="96">
        <f>24.78+19.6</f>
        <v>44.38</v>
      </c>
    </row>
    <row r="706" spans="1:12" x14ac:dyDescent="0.2">
      <c r="A706" s="106">
        <v>1300</v>
      </c>
      <c r="B706" s="107" t="s">
        <v>267</v>
      </c>
      <c r="C706" s="106">
        <v>5512</v>
      </c>
      <c r="D706" s="106">
        <v>5168</v>
      </c>
      <c r="E706" s="108">
        <v>5512000000001</v>
      </c>
      <c r="F706" s="109" t="s">
        <v>274</v>
      </c>
      <c r="G706" s="96">
        <v>20</v>
      </c>
      <c r="I706" s="96">
        <v>20</v>
      </c>
      <c r="J706" s="96">
        <v>0</v>
      </c>
      <c r="K706" s="96">
        <v>14.52</v>
      </c>
      <c r="L706" s="96">
        <v>14.52</v>
      </c>
    </row>
    <row r="707" spans="1:12" x14ac:dyDescent="0.2">
      <c r="A707" s="106">
        <v>1300</v>
      </c>
      <c r="B707" s="107" t="s">
        <v>267</v>
      </c>
      <c r="C707" s="106">
        <v>5512</v>
      </c>
      <c r="D707" s="106">
        <v>5169</v>
      </c>
      <c r="E707" s="108">
        <v>5512000000001</v>
      </c>
      <c r="F707" s="109" t="s">
        <v>275</v>
      </c>
      <c r="G707" s="96">
        <v>220</v>
      </c>
      <c r="I707" s="96">
        <v>220</v>
      </c>
      <c r="J707" s="96">
        <v>96.790999999999997</v>
      </c>
      <c r="K707" s="96">
        <f>129.825+8800</f>
        <v>8929.8250000000007</v>
      </c>
      <c r="L707" s="96">
        <v>94.045000000000002</v>
      </c>
    </row>
    <row r="708" spans="1:12" x14ac:dyDescent="0.2">
      <c r="A708" s="106">
        <v>1300</v>
      </c>
      <c r="B708" s="107" t="s">
        <v>267</v>
      </c>
      <c r="C708" s="106">
        <v>5512</v>
      </c>
      <c r="D708" s="106">
        <v>5171</v>
      </c>
      <c r="E708" s="108">
        <v>5512000000001</v>
      </c>
      <c r="F708" s="109" t="s">
        <v>118</v>
      </c>
      <c r="G708" s="96">
        <v>220</v>
      </c>
      <c r="I708" s="96">
        <v>220</v>
      </c>
      <c r="J708" s="96">
        <v>103.81699999999999</v>
      </c>
      <c r="K708" s="96">
        <v>383.85899999999998</v>
      </c>
      <c r="L708" s="96">
        <v>156.67400000000001</v>
      </c>
    </row>
    <row r="709" spans="1:12" x14ac:dyDescent="0.2">
      <c r="A709" s="106">
        <v>1300</v>
      </c>
      <c r="B709" s="107" t="s">
        <v>267</v>
      </c>
      <c r="C709" s="106">
        <v>5512</v>
      </c>
      <c r="D709" s="106">
        <v>5175</v>
      </c>
      <c r="E709" s="108">
        <v>5512000000001</v>
      </c>
      <c r="F709" s="109" t="s">
        <v>28</v>
      </c>
      <c r="G709" s="96">
        <v>104</v>
      </c>
      <c r="I709" s="96">
        <v>99</v>
      </c>
      <c r="J709" s="96">
        <v>37.210999999999999</v>
      </c>
      <c r="K709" s="96">
        <v>57.411999999999999</v>
      </c>
      <c r="L709" s="96">
        <v>22.681999999999999</v>
      </c>
    </row>
    <row r="710" spans="1:12" x14ac:dyDescent="0.2">
      <c r="A710" s="106">
        <v>1300</v>
      </c>
      <c r="B710" s="107" t="s">
        <v>267</v>
      </c>
      <c r="C710" s="106">
        <v>5512</v>
      </c>
      <c r="D710" s="106">
        <v>5901</v>
      </c>
      <c r="E710" s="108">
        <v>5512000000001</v>
      </c>
      <c r="F710" s="109" t="s">
        <v>407</v>
      </c>
      <c r="G710" s="96">
        <v>0</v>
      </c>
      <c r="I710" s="96">
        <v>61</v>
      </c>
      <c r="J710" s="96"/>
      <c r="K710" s="96">
        <v>0</v>
      </c>
      <c r="L710" s="96"/>
    </row>
    <row r="711" spans="1:12" ht="13.5" thickBot="1" x14ac:dyDescent="0.25">
      <c r="A711" s="106"/>
      <c r="B711" s="107"/>
      <c r="C711" s="106"/>
      <c r="D711" s="106"/>
      <c r="E711" s="108"/>
      <c r="F711" s="109" t="s">
        <v>503</v>
      </c>
      <c r="G711" s="96"/>
      <c r="I711" s="96"/>
      <c r="J711" s="96">
        <f>2.257</f>
        <v>2.2570000000000001</v>
      </c>
      <c r="K711" s="96">
        <f>16.94</f>
        <v>16.940000000000001</v>
      </c>
      <c r="L711" s="96">
        <f>2.549+40+21.301</f>
        <v>63.849999999999994</v>
      </c>
    </row>
    <row r="712" spans="1:12" x14ac:dyDescent="0.2">
      <c r="A712" s="110"/>
      <c r="B712" s="111" t="s">
        <v>17</v>
      </c>
      <c r="C712" s="112">
        <v>5512</v>
      </c>
      <c r="D712" s="113"/>
      <c r="E712" s="114"/>
      <c r="F712" s="115"/>
      <c r="G712" s="116">
        <f>SUM(G693:G711)</f>
        <v>2328</v>
      </c>
      <c r="I712" s="116">
        <f>SUM(I693:I711)</f>
        <v>2252</v>
      </c>
      <c r="J712" s="116">
        <f>SUM(J693:J711)</f>
        <v>1015.0599999999998</v>
      </c>
      <c r="K712" s="116">
        <f>SUM(K693:K711)</f>
        <v>10714.458000000002</v>
      </c>
      <c r="L712" s="116">
        <f>SUM(L693:L711)</f>
        <v>1887.107</v>
      </c>
    </row>
    <row r="714" spans="1:12" x14ac:dyDescent="0.2">
      <c r="A714" s="124"/>
      <c r="B714" s="125" t="s">
        <v>276</v>
      </c>
      <c r="C714" s="126"/>
      <c r="D714" s="127"/>
      <c r="E714" s="128"/>
      <c r="F714" s="129"/>
      <c r="G714" s="130">
        <f t="shared" ref="G714:L714" si="10">SUM(G712)</f>
        <v>2328</v>
      </c>
      <c r="I714" s="130">
        <f t="shared" si="10"/>
        <v>2252</v>
      </c>
      <c r="J714" s="130">
        <f t="shared" si="10"/>
        <v>1015.0599999999998</v>
      </c>
      <c r="K714" s="130">
        <f t="shared" si="10"/>
        <v>10714.458000000002</v>
      </c>
      <c r="L714" s="130">
        <f t="shared" si="10"/>
        <v>1887.107</v>
      </c>
    </row>
    <row r="717" spans="1:12" x14ac:dyDescent="0.2">
      <c r="A717" s="106">
        <v>1400</v>
      </c>
      <c r="B717" s="107" t="s">
        <v>277</v>
      </c>
      <c r="C717" s="106">
        <v>4350</v>
      </c>
      <c r="D717" s="106">
        <v>5021</v>
      </c>
      <c r="E717" s="108">
        <v>4350000000001</v>
      </c>
      <c r="F717" s="109" t="s">
        <v>7</v>
      </c>
      <c r="G717" s="96">
        <v>60</v>
      </c>
      <c r="I717" s="96">
        <v>40</v>
      </c>
      <c r="J717" s="96">
        <v>26.5</v>
      </c>
      <c r="K717" s="96">
        <v>39</v>
      </c>
      <c r="L717" s="96">
        <v>48.75</v>
      </c>
    </row>
    <row r="718" spans="1:12" x14ac:dyDescent="0.2">
      <c r="A718" s="106">
        <v>1400</v>
      </c>
      <c r="B718" s="107" t="s">
        <v>277</v>
      </c>
      <c r="C718" s="106">
        <v>4350</v>
      </c>
      <c r="D718" s="106">
        <v>5137</v>
      </c>
      <c r="E718" s="108">
        <v>4350000000001</v>
      </c>
      <c r="F718" s="109" t="s">
        <v>278</v>
      </c>
      <c r="G718" s="96">
        <v>20</v>
      </c>
      <c r="I718" s="96">
        <v>20</v>
      </c>
      <c r="J718" s="96">
        <v>0</v>
      </c>
      <c r="K718" s="96">
        <v>43.65</v>
      </c>
      <c r="L718" s="96">
        <v>25.050999999999998</v>
      </c>
    </row>
    <row r="719" spans="1:12" x14ac:dyDescent="0.2">
      <c r="A719" s="106">
        <v>1400</v>
      </c>
      <c r="B719" s="107" t="s">
        <v>277</v>
      </c>
      <c r="C719" s="106">
        <v>4350</v>
      </c>
      <c r="D719" s="106">
        <v>5139</v>
      </c>
      <c r="E719" s="108">
        <v>4350000000001</v>
      </c>
      <c r="F719" s="109" t="s">
        <v>9</v>
      </c>
      <c r="G719" s="96">
        <v>50</v>
      </c>
      <c r="I719" s="96">
        <v>40</v>
      </c>
      <c r="J719" s="96">
        <v>30.198</v>
      </c>
      <c r="K719" s="96">
        <v>45.109000000000002</v>
      </c>
      <c r="L719" s="96">
        <v>31.335999999999999</v>
      </c>
    </row>
    <row r="720" spans="1:12" x14ac:dyDescent="0.2">
      <c r="A720" s="106">
        <v>1400</v>
      </c>
      <c r="B720" s="107" t="s">
        <v>277</v>
      </c>
      <c r="C720" s="106">
        <v>4350</v>
      </c>
      <c r="D720" s="106">
        <v>5153</v>
      </c>
      <c r="E720" s="108">
        <v>4350000000001</v>
      </c>
      <c r="F720" s="109" t="s">
        <v>223</v>
      </c>
      <c r="G720" s="96">
        <f>2*240</f>
        <v>480</v>
      </c>
      <c r="I720" s="96">
        <v>240</v>
      </c>
      <c r="J720" s="96">
        <v>99</v>
      </c>
      <c r="K720" s="96">
        <v>230.87799999999999</v>
      </c>
      <c r="L720" s="96">
        <v>139.65100000000001</v>
      </c>
    </row>
    <row r="721" spans="1:12" x14ac:dyDescent="0.2">
      <c r="A721" s="106">
        <v>1400</v>
      </c>
      <c r="B721" s="107" t="s">
        <v>277</v>
      </c>
      <c r="C721" s="106">
        <v>4350</v>
      </c>
      <c r="D721" s="106">
        <v>5154</v>
      </c>
      <c r="E721" s="108">
        <v>4350000000001</v>
      </c>
      <c r="F721" s="109" t="s">
        <v>272</v>
      </c>
      <c r="G721" s="96">
        <f>2*270</f>
        <v>540</v>
      </c>
      <c r="I721" s="96">
        <v>240</v>
      </c>
      <c r="J721" s="96">
        <v>133.291</v>
      </c>
      <c r="K721" s="96">
        <v>207.53899999999999</v>
      </c>
      <c r="L721" s="96">
        <v>213.042</v>
      </c>
    </row>
    <row r="722" spans="1:12" x14ac:dyDescent="0.2">
      <c r="A722" s="106">
        <v>1400</v>
      </c>
      <c r="B722" s="107" t="s">
        <v>277</v>
      </c>
      <c r="C722" s="106">
        <v>4350</v>
      </c>
      <c r="D722" s="106">
        <v>5162</v>
      </c>
      <c r="E722" s="108">
        <v>4350000000001</v>
      </c>
      <c r="F722" s="109" t="s">
        <v>626</v>
      </c>
      <c r="G722" s="96">
        <v>90</v>
      </c>
      <c r="I722" s="96">
        <v>80</v>
      </c>
      <c r="J722" s="96">
        <v>51.372</v>
      </c>
      <c r="K722" s="96">
        <v>82.403999999999996</v>
      </c>
      <c r="L722" s="96">
        <v>77.337000000000003</v>
      </c>
    </row>
    <row r="723" spans="1:12" x14ac:dyDescent="0.2">
      <c r="A723" s="106">
        <v>1400</v>
      </c>
      <c r="B723" s="107" t="s">
        <v>277</v>
      </c>
      <c r="C723" s="106">
        <v>4350</v>
      </c>
      <c r="D723" s="106">
        <v>5169</v>
      </c>
      <c r="E723" s="108">
        <v>4350000000001</v>
      </c>
      <c r="F723" s="109" t="s">
        <v>12</v>
      </c>
      <c r="G723" s="96">
        <v>150</v>
      </c>
      <c r="I723" s="96">
        <v>150</v>
      </c>
      <c r="J723" s="96">
        <v>43.441000000000003</v>
      </c>
      <c r="K723" s="96">
        <v>125.58</v>
      </c>
      <c r="L723" s="96">
        <v>124.288</v>
      </c>
    </row>
    <row r="724" spans="1:12" x14ac:dyDescent="0.2">
      <c r="A724" s="106">
        <v>1400</v>
      </c>
      <c r="B724" s="107" t="s">
        <v>277</v>
      </c>
      <c r="C724" s="106">
        <v>4350</v>
      </c>
      <c r="D724" s="106">
        <v>5171</v>
      </c>
      <c r="E724" s="108">
        <v>4350000000001</v>
      </c>
      <c r="F724" s="109" t="s">
        <v>627</v>
      </c>
      <c r="G724" s="96">
        <v>200</v>
      </c>
      <c r="I724" s="96">
        <v>170</v>
      </c>
      <c r="J724" s="96">
        <v>162.64099999999999</v>
      </c>
      <c r="K724" s="96">
        <v>101.529</v>
      </c>
      <c r="L724" s="96">
        <v>108.371</v>
      </c>
    </row>
    <row r="725" spans="1:12" x14ac:dyDescent="0.2">
      <c r="A725" s="106">
        <v>1400</v>
      </c>
      <c r="B725" s="107" t="s">
        <v>277</v>
      </c>
      <c r="C725" s="106">
        <v>4350</v>
      </c>
      <c r="D725" s="106">
        <v>5909</v>
      </c>
      <c r="E725" s="108">
        <v>4350000000001</v>
      </c>
      <c r="F725" s="109" t="s">
        <v>279</v>
      </c>
      <c r="G725" s="96">
        <v>20</v>
      </c>
      <c r="I725" s="96">
        <v>20</v>
      </c>
      <c r="J725" s="96">
        <v>18.154</v>
      </c>
      <c r="K725" s="96">
        <v>3.5369999999999999</v>
      </c>
      <c r="L725" s="96">
        <v>10.801</v>
      </c>
    </row>
    <row r="726" spans="1:12" ht="13.5" thickBot="1" x14ac:dyDescent="0.25">
      <c r="A726" s="106"/>
      <c r="B726" s="107"/>
      <c r="C726" s="106"/>
      <c r="D726" s="106"/>
      <c r="E726" s="108"/>
      <c r="F726" s="109" t="s">
        <v>503</v>
      </c>
      <c r="G726" s="96"/>
      <c r="I726" s="96"/>
      <c r="J726" s="96"/>
      <c r="K726" s="96"/>
      <c r="L726" s="96"/>
    </row>
    <row r="727" spans="1:12" x14ac:dyDescent="0.2">
      <c r="A727" s="110"/>
      <c r="B727" s="111" t="s">
        <v>17</v>
      </c>
      <c r="C727" s="112">
        <v>4350</v>
      </c>
      <c r="D727" s="113"/>
      <c r="E727" s="114"/>
      <c r="F727" s="115"/>
      <c r="G727" s="116">
        <f>SUM(G717:G726)</f>
        <v>1610</v>
      </c>
      <c r="I727" s="116">
        <f>SUM(I717:I726)</f>
        <v>1000</v>
      </c>
      <c r="J727" s="116">
        <f>SUM(J717:J726)</f>
        <v>564.59699999999998</v>
      </c>
      <c r="K727" s="116">
        <f>SUM(K717:K726)</f>
        <v>879.226</v>
      </c>
      <c r="L727" s="116">
        <f>SUM(L717:L726)</f>
        <v>778.62700000000007</v>
      </c>
    </row>
    <row r="729" spans="1:12" x14ac:dyDescent="0.2">
      <c r="A729" s="106">
        <v>1400</v>
      </c>
      <c r="B729" s="107" t="s">
        <v>281</v>
      </c>
      <c r="C729" s="106">
        <v>4351</v>
      </c>
      <c r="D729" s="106">
        <v>5011</v>
      </c>
      <c r="E729" s="108">
        <v>4351000000001</v>
      </c>
      <c r="F729" s="109" t="s">
        <v>51</v>
      </c>
      <c r="G729" s="96">
        <f>2580+380</f>
        <v>2960</v>
      </c>
      <c r="I729" s="96">
        <v>2220</v>
      </c>
      <c r="J729" s="96">
        <f>727.421+1295.516</f>
        <v>2022.9370000000001</v>
      </c>
      <c r="K729" s="96">
        <f>866.936+1270.553</f>
        <v>2137.489</v>
      </c>
      <c r="L729" s="96">
        <f>749.404+1194</f>
        <v>1943.404</v>
      </c>
    </row>
    <row r="730" spans="1:12" x14ac:dyDescent="0.2">
      <c r="A730" s="106">
        <v>1400</v>
      </c>
      <c r="B730" s="107" t="s">
        <v>281</v>
      </c>
      <c r="C730" s="106">
        <v>4351</v>
      </c>
      <c r="D730" s="106">
        <v>5021</v>
      </c>
      <c r="E730" s="108">
        <v>4351000000001</v>
      </c>
      <c r="F730" s="109" t="s">
        <v>52</v>
      </c>
      <c r="G730" s="96">
        <v>100</v>
      </c>
      <c r="I730" s="96"/>
      <c r="J730" s="96"/>
      <c r="K730" s="96"/>
      <c r="L730" s="96"/>
    </row>
    <row r="731" spans="1:12" x14ac:dyDescent="0.2">
      <c r="A731" s="106">
        <v>1400</v>
      </c>
      <c r="B731" s="107" t="s">
        <v>281</v>
      </c>
      <c r="C731" s="106">
        <v>4351</v>
      </c>
      <c r="D731" s="106">
        <v>5031</v>
      </c>
      <c r="E731" s="108">
        <v>4351000000001</v>
      </c>
      <c r="F731" s="109" t="s">
        <v>143</v>
      </c>
      <c r="G731" s="96">
        <v>735</v>
      </c>
      <c r="I731" s="96">
        <v>551</v>
      </c>
      <c r="J731" s="96">
        <f>176.195+321.288</f>
        <v>497.483</v>
      </c>
      <c r="K731" s="96">
        <f>208.797+315.097</f>
        <v>523.89400000000001</v>
      </c>
      <c r="L731" s="96">
        <f>184.587+298.5</f>
        <v>483.08699999999999</v>
      </c>
    </row>
    <row r="732" spans="1:12" x14ac:dyDescent="0.2">
      <c r="A732" s="106">
        <v>1400</v>
      </c>
      <c r="B732" s="107" t="s">
        <v>281</v>
      </c>
      <c r="C732" s="106">
        <v>4351</v>
      </c>
      <c r="D732" s="106">
        <v>5032</v>
      </c>
      <c r="E732" s="108">
        <v>4351000000001</v>
      </c>
      <c r="F732" s="109" t="s">
        <v>300</v>
      </c>
      <c r="G732" s="96">
        <v>267</v>
      </c>
      <c r="I732" s="96">
        <v>200</v>
      </c>
      <c r="J732" s="96">
        <f>63.944+116.596</f>
        <v>180.54000000000002</v>
      </c>
      <c r="K732" s="96">
        <f>75.767+114.35</f>
        <v>190.11699999999999</v>
      </c>
      <c r="L732" s="96">
        <f>67.015+107.5</f>
        <v>174.51499999999999</v>
      </c>
    </row>
    <row r="733" spans="1:12" x14ac:dyDescent="0.2">
      <c r="A733" s="106">
        <v>1400</v>
      </c>
      <c r="B733" s="107" t="s">
        <v>281</v>
      </c>
      <c r="C733" s="106">
        <v>4351</v>
      </c>
      <c r="D733" s="106">
        <v>5134</v>
      </c>
      <c r="E733" s="108">
        <v>4351000000001</v>
      </c>
      <c r="F733" s="109" t="s">
        <v>254</v>
      </c>
      <c r="G733" s="96">
        <v>4</v>
      </c>
      <c r="I733" s="96">
        <v>4</v>
      </c>
      <c r="J733" s="96">
        <v>0</v>
      </c>
      <c r="K733" s="96">
        <v>4.4850000000000003</v>
      </c>
      <c r="L733" s="96"/>
    </row>
    <row r="734" spans="1:12" x14ac:dyDescent="0.2">
      <c r="A734" s="106">
        <v>1400</v>
      </c>
      <c r="B734" s="107" t="s">
        <v>281</v>
      </c>
      <c r="C734" s="106">
        <v>4351</v>
      </c>
      <c r="D734" s="106">
        <v>5137</v>
      </c>
      <c r="E734" s="108">
        <v>4351000000001</v>
      </c>
      <c r="F734" s="109" t="s">
        <v>630</v>
      </c>
      <c r="G734" s="96">
        <v>10</v>
      </c>
      <c r="I734" s="96"/>
      <c r="J734" s="96"/>
      <c r="K734" s="96"/>
      <c r="L734" s="96"/>
    </row>
    <row r="735" spans="1:12" x14ac:dyDescent="0.2">
      <c r="A735" s="106">
        <v>1400</v>
      </c>
      <c r="B735" s="107" t="s">
        <v>281</v>
      </c>
      <c r="C735" s="106">
        <v>4351</v>
      </c>
      <c r="D735" s="106">
        <v>5138</v>
      </c>
      <c r="E735" s="108">
        <v>4351000000001</v>
      </c>
      <c r="F735" s="109" t="s">
        <v>474</v>
      </c>
      <c r="G735" s="96">
        <v>1100</v>
      </c>
      <c r="I735" s="96">
        <v>1100</v>
      </c>
      <c r="J735" s="96">
        <v>645.33000000000004</v>
      </c>
      <c r="K735" s="96">
        <v>1020.04</v>
      </c>
      <c r="L735" s="96">
        <v>697.47500000000002</v>
      </c>
    </row>
    <row r="736" spans="1:12" x14ac:dyDescent="0.2">
      <c r="A736" s="106">
        <v>1400</v>
      </c>
      <c r="B736" s="107" t="s">
        <v>281</v>
      </c>
      <c r="C736" s="106">
        <v>4351</v>
      </c>
      <c r="D736" s="106">
        <v>5139</v>
      </c>
      <c r="E736" s="108">
        <v>4351000000001</v>
      </c>
      <c r="F736" s="109" t="s">
        <v>56</v>
      </c>
      <c r="G736" s="96">
        <v>35</v>
      </c>
      <c r="I736" s="96">
        <v>35.5</v>
      </c>
      <c r="J736" s="96">
        <v>28.178000000000001</v>
      </c>
      <c r="K736" s="96">
        <v>24.009</v>
      </c>
      <c r="L736" s="96">
        <v>31.994</v>
      </c>
    </row>
    <row r="737" spans="1:12" x14ac:dyDescent="0.2">
      <c r="A737" s="106">
        <v>1400</v>
      </c>
      <c r="B737" s="107" t="s">
        <v>281</v>
      </c>
      <c r="C737" s="106">
        <v>4351</v>
      </c>
      <c r="D737" s="106">
        <v>5153</v>
      </c>
      <c r="E737" s="108">
        <v>4351000000001</v>
      </c>
      <c r="F737" s="109" t="s">
        <v>214</v>
      </c>
      <c r="G737" s="96">
        <f>2*15</f>
        <v>30</v>
      </c>
      <c r="I737" s="96">
        <v>15</v>
      </c>
      <c r="J737" s="96">
        <v>15</v>
      </c>
      <c r="K737" s="96">
        <v>0</v>
      </c>
      <c r="L737" s="96">
        <v>15</v>
      </c>
    </row>
    <row r="738" spans="1:12" x14ac:dyDescent="0.2">
      <c r="A738" s="106">
        <v>1400</v>
      </c>
      <c r="B738" s="107" t="s">
        <v>281</v>
      </c>
      <c r="C738" s="106">
        <v>4351</v>
      </c>
      <c r="D738" s="106">
        <v>5154</v>
      </c>
      <c r="E738" s="108">
        <v>4351000000001</v>
      </c>
      <c r="F738" s="109" t="s">
        <v>272</v>
      </c>
      <c r="G738" s="96">
        <f>2*25</f>
        <v>50</v>
      </c>
      <c r="I738" s="96">
        <v>25</v>
      </c>
      <c r="J738" s="96">
        <v>25</v>
      </c>
      <c r="K738" s="96">
        <v>19.364999999999998</v>
      </c>
      <c r="L738" s="96">
        <v>15</v>
      </c>
    </row>
    <row r="739" spans="1:12" x14ac:dyDescent="0.2">
      <c r="A739" s="106">
        <v>1400</v>
      </c>
      <c r="B739" s="107" t="s">
        <v>281</v>
      </c>
      <c r="C739" s="106">
        <v>4351</v>
      </c>
      <c r="D739" s="106">
        <v>5156</v>
      </c>
      <c r="E739" s="108">
        <v>4351000000001</v>
      </c>
      <c r="F739" s="109" t="s">
        <v>105</v>
      </c>
      <c r="G739" s="96">
        <v>80</v>
      </c>
      <c r="I739" s="96">
        <v>80</v>
      </c>
      <c r="J739" s="96">
        <v>54.823</v>
      </c>
      <c r="K739" s="96">
        <v>77.179000000000002</v>
      </c>
      <c r="L739" s="96">
        <f>29.834+50</f>
        <v>79.834000000000003</v>
      </c>
    </row>
    <row r="740" spans="1:12" x14ac:dyDescent="0.2">
      <c r="A740" s="106">
        <v>1400</v>
      </c>
      <c r="B740" s="107" t="s">
        <v>281</v>
      </c>
      <c r="C740" s="106">
        <v>4351</v>
      </c>
      <c r="D740" s="106">
        <v>5162</v>
      </c>
      <c r="E740" s="108">
        <v>4351000000001</v>
      </c>
      <c r="F740" s="109" t="s">
        <v>106</v>
      </c>
      <c r="G740" s="96">
        <v>36</v>
      </c>
      <c r="I740" s="96">
        <v>20</v>
      </c>
      <c r="J740" s="96">
        <v>23.585000000000001</v>
      </c>
      <c r="K740" s="96">
        <v>23.408000000000001</v>
      </c>
      <c r="L740" s="96">
        <v>18.957000000000001</v>
      </c>
    </row>
    <row r="741" spans="1:12" x14ac:dyDescent="0.2">
      <c r="A741" s="106">
        <v>1400</v>
      </c>
      <c r="B741" s="107" t="s">
        <v>281</v>
      </c>
      <c r="C741" s="106">
        <v>4351</v>
      </c>
      <c r="D741" s="106">
        <v>5167</v>
      </c>
      <c r="E741" s="108">
        <v>4351000000001</v>
      </c>
      <c r="F741" s="109" t="s">
        <v>87</v>
      </c>
      <c r="G741" s="96">
        <v>30</v>
      </c>
      <c r="I741" s="96">
        <v>30</v>
      </c>
      <c r="J741" s="96">
        <v>13.29</v>
      </c>
      <c r="K741" s="96">
        <v>12.23</v>
      </c>
      <c r="L741" s="96">
        <v>20.09</v>
      </c>
    </row>
    <row r="742" spans="1:12" x14ac:dyDescent="0.2">
      <c r="A742" s="106">
        <v>1400</v>
      </c>
      <c r="B742" s="107" t="s">
        <v>281</v>
      </c>
      <c r="C742" s="106">
        <v>4351</v>
      </c>
      <c r="D742" s="106">
        <v>5169</v>
      </c>
      <c r="E742" s="108">
        <v>4351000000001</v>
      </c>
      <c r="F742" s="109" t="s">
        <v>12</v>
      </c>
      <c r="G742" s="96">
        <v>0</v>
      </c>
      <c r="I742" s="96">
        <v>30</v>
      </c>
      <c r="J742" s="96">
        <v>18.045000000000002</v>
      </c>
      <c r="K742" s="96">
        <v>7.0250000000000004</v>
      </c>
      <c r="L742" s="96">
        <v>23.47</v>
      </c>
    </row>
    <row r="743" spans="1:12" x14ac:dyDescent="0.2">
      <c r="A743" s="106">
        <v>1400</v>
      </c>
      <c r="B743" s="107" t="s">
        <v>281</v>
      </c>
      <c r="C743" s="106">
        <v>4351</v>
      </c>
      <c r="D743" s="106">
        <v>5169</v>
      </c>
      <c r="E743" s="108">
        <v>4351000000001</v>
      </c>
      <c r="F743" s="109" t="s">
        <v>475</v>
      </c>
      <c r="G743" s="96">
        <v>70</v>
      </c>
      <c r="I743" s="96">
        <v>47</v>
      </c>
      <c r="J743" s="96"/>
      <c r="K743" s="96"/>
      <c r="L743" s="96"/>
    </row>
    <row r="744" spans="1:12" x14ac:dyDescent="0.2">
      <c r="A744" s="106">
        <v>1400</v>
      </c>
      <c r="B744" s="107" t="s">
        <v>281</v>
      </c>
      <c r="C744" s="106">
        <v>4351</v>
      </c>
      <c r="D744" s="106">
        <v>5171</v>
      </c>
      <c r="E744" s="108">
        <v>4351000000001</v>
      </c>
      <c r="F744" s="109" t="s">
        <v>118</v>
      </c>
      <c r="G744" s="96">
        <v>25</v>
      </c>
      <c r="I744" s="96">
        <v>25</v>
      </c>
      <c r="J744" s="96">
        <v>1.3</v>
      </c>
      <c r="K744" s="96">
        <v>7.3</v>
      </c>
      <c r="L744" s="96">
        <v>0.6</v>
      </c>
    </row>
    <row r="745" spans="1:12" x14ac:dyDescent="0.2">
      <c r="A745" s="106">
        <v>1400</v>
      </c>
      <c r="B745" s="107" t="s">
        <v>281</v>
      </c>
      <c r="C745" s="106">
        <v>4351</v>
      </c>
      <c r="D745" s="106">
        <v>5173</v>
      </c>
      <c r="E745" s="108">
        <v>4351000000001</v>
      </c>
      <c r="F745" s="109" t="s">
        <v>60</v>
      </c>
      <c r="G745" s="96">
        <v>10</v>
      </c>
      <c r="I745" s="96">
        <v>10</v>
      </c>
      <c r="J745" s="96">
        <v>0.3</v>
      </c>
      <c r="K745" s="96">
        <v>3.5430000000000001</v>
      </c>
      <c r="L745" s="96">
        <v>11.340999999999999</v>
      </c>
    </row>
    <row r="746" spans="1:12" x14ac:dyDescent="0.2">
      <c r="A746" s="106">
        <v>1400</v>
      </c>
      <c r="B746" s="107" t="s">
        <v>281</v>
      </c>
      <c r="C746" s="106">
        <v>4351</v>
      </c>
      <c r="D746" s="106">
        <v>5362</v>
      </c>
      <c r="E746" s="108">
        <v>4351000000001</v>
      </c>
      <c r="F746" s="109" t="s">
        <v>476</v>
      </c>
      <c r="G746" s="96">
        <v>7.5</v>
      </c>
      <c r="I746" s="96">
        <v>7.5</v>
      </c>
      <c r="J746" s="96">
        <v>7.5</v>
      </c>
      <c r="K746" s="96">
        <v>7.5</v>
      </c>
      <c r="L746" s="96">
        <v>4.5</v>
      </c>
    </row>
    <row r="747" spans="1:12" ht="13.5" thickBot="1" x14ac:dyDescent="0.25">
      <c r="A747" s="106"/>
      <c r="B747" s="107"/>
      <c r="C747" s="106"/>
      <c r="D747" s="106"/>
      <c r="E747" s="108"/>
      <c r="F747" s="109" t="s">
        <v>503</v>
      </c>
      <c r="G747" s="96"/>
      <c r="I747" s="96"/>
      <c r="J747" s="96"/>
      <c r="K747" s="96"/>
      <c r="L747" s="96"/>
    </row>
    <row r="748" spans="1:12" x14ac:dyDescent="0.2">
      <c r="A748" s="110"/>
      <c r="B748" s="111" t="s">
        <v>17</v>
      </c>
      <c r="C748" s="112">
        <v>4351</v>
      </c>
      <c r="D748" s="113"/>
      <c r="E748" s="114"/>
      <c r="F748" s="115"/>
      <c r="G748" s="116">
        <f>SUM(G729:G747)</f>
        <v>5549.5</v>
      </c>
      <c r="I748" s="116">
        <f>SUM(I729:I747)</f>
        <v>4400</v>
      </c>
      <c r="J748" s="116">
        <f>SUM(J729:J747)</f>
        <v>3533.3110000000001</v>
      </c>
      <c r="K748" s="116">
        <f>SUM(K729:K747)</f>
        <v>4057.5840000000003</v>
      </c>
      <c r="L748" s="116">
        <f>SUM(L729:L747)</f>
        <v>3519.2669999999994</v>
      </c>
    </row>
    <row r="750" spans="1:12" ht="13.5" thickBot="1" x14ac:dyDescent="0.25">
      <c r="A750" s="106">
        <v>1400</v>
      </c>
      <c r="B750" s="107" t="s">
        <v>633</v>
      </c>
      <c r="C750" s="106">
        <v>4372</v>
      </c>
      <c r="D750" s="106">
        <v>5499</v>
      </c>
      <c r="E750" s="108">
        <v>4372000000001</v>
      </c>
      <c r="F750" s="109" t="s">
        <v>633</v>
      </c>
      <c r="G750" s="96">
        <v>200</v>
      </c>
      <c r="I750" s="96"/>
      <c r="J750" s="96"/>
      <c r="K750" s="96"/>
      <c r="L750" s="96"/>
    </row>
    <row r="751" spans="1:12" x14ac:dyDescent="0.2">
      <c r="A751" s="110"/>
      <c r="B751" s="111" t="s">
        <v>17</v>
      </c>
      <c r="C751" s="112">
        <v>4372</v>
      </c>
      <c r="D751" s="113"/>
      <c r="E751" s="114"/>
      <c r="F751" s="115"/>
      <c r="G751" s="116">
        <f t="shared" ref="G751:L751" si="11">SUM(G750)</f>
        <v>200</v>
      </c>
      <c r="I751" s="116">
        <f t="shared" si="11"/>
        <v>0</v>
      </c>
      <c r="J751" s="116">
        <f t="shared" si="11"/>
        <v>0</v>
      </c>
      <c r="K751" s="116">
        <f t="shared" si="11"/>
        <v>0</v>
      </c>
      <c r="L751" s="116">
        <f t="shared" si="11"/>
        <v>0</v>
      </c>
    </row>
    <row r="753" spans="1:12" x14ac:dyDescent="0.2">
      <c r="A753" s="106">
        <v>1400</v>
      </c>
      <c r="B753" s="107" t="s">
        <v>282</v>
      </c>
      <c r="C753" s="106">
        <v>4379</v>
      </c>
      <c r="D753" s="106">
        <v>5041</v>
      </c>
      <c r="E753" s="108">
        <v>4379000000001</v>
      </c>
      <c r="F753" s="109" t="s">
        <v>283</v>
      </c>
      <c r="G753" s="96">
        <v>30</v>
      </c>
      <c r="I753" s="96">
        <v>30</v>
      </c>
      <c r="J753" s="96">
        <v>2</v>
      </c>
      <c r="K753" s="96">
        <v>14.5</v>
      </c>
      <c r="L753" s="96">
        <v>30</v>
      </c>
    </row>
    <row r="754" spans="1:12" x14ac:dyDescent="0.2">
      <c r="A754" s="106">
        <v>1400</v>
      </c>
      <c r="B754" s="107" t="s">
        <v>282</v>
      </c>
      <c r="C754" s="106">
        <v>4379</v>
      </c>
      <c r="D754" s="106">
        <v>5169</v>
      </c>
      <c r="E754" s="108">
        <v>4379000000001</v>
      </c>
      <c r="F754" s="109" t="s">
        <v>284</v>
      </c>
      <c r="G754" s="96">
        <v>70</v>
      </c>
      <c r="I754" s="96">
        <v>80</v>
      </c>
      <c r="J754" s="96">
        <v>50.531999999999996</v>
      </c>
      <c r="K754" s="96">
        <v>12.5</v>
      </c>
      <c r="L754" s="96">
        <v>160.79300000000001</v>
      </c>
    </row>
    <row r="755" spans="1:12" x14ac:dyDescent="0.2">
      <c r="A755" s="106">
        <v>1400</v>
      </c>
      <c r="B755" s="107" t="s">
        <v>282</v>
      </c>
      <c r="C755" s="106">
        <v>4379</v>
      </c>
      <c r="D755" s="106">
        <v>5169</v>
      </c>
      <c r="E755" s="108">
        <v>4379000000003</v>
      </c>
      <c r="F755" s="109" t="s">
        <v>285</v>
      </c>
      <c r="G755" s="96">
        <v>10</v>
      </c>
      <c r="I755" s="96">
        <v>10</v>
      </c>
      <c r="J755" s="96">
        <v>4.4820000000000002</v>
      </c>
      <c r="K755" s="96">
        <v>7.8319999999999999</v>
      </c>
      <c r="L755" s="96">
        <v>7.1020000000000003</v>
      </c>
    </row>
    <row r="756" spans="1:12" x14ac:dyDescent="0.2">
      <c r="A756" s="106">
        <v>1400</v>
      </c>
      <c r="B756" s="107" t="s">
        <v>282</v>
      </c>
      <c r="C756" s="106">
        <v>4379</v>
      </c>
      <c r="D756" s="106">
        <v>5175</v>
      </c>
      <c r="E756" s="108">
        <v>4379000000001</v>
      </c>
      <c r="F756" s="109" t="s">
        <v>477</v>
      </c>
      <c r="G756" s="96">
        <v>40</v>
      </c>
      <c r="I756" s="96">
        <v>30</v>
      </c>
      <c r="J756" s="96">
        <v>13.257999999999999</v>
      </c>
      <c r="K756" s="96">
        <v>29.341999999999999</v>
      </c>
      <c r="L756" s="96">
        <v>37.286000000000001</v>
      </c>
    </row>
    <row r="757" spans="1:12" x14ac:dyDescent="0.2">
      <c r="A757" s="106">
        <v>1400</v>
      </c>
      <c r="B757" s="107" t="s">
        <v>282</v>
      </c>
      <c r="C757" s="106">
        <v>4379</v>
      </c>
      <c r="D757" s="106">
        <v>5194</v>
      </c>
      <c r="E757" s="108">
        <v>4379000000001</v>
      </c>
      <c r="F757" s="109" t="s">
        <v>164</v>
      </c>
      <c r="G757" s="96">
        <v>10</v>
      </c>
      <c r="I757" s="96">
        <v>10</v>
      </c>
      <c r="J757" s="96">
        <v>2.0950000000000002</v>
      </c>
      <c r="K757" s="96">
        <v>9.7539999999999996</v>
      </c>
      <c r="L757" s="96">
        <v>15.276</v>
      </c>
    </row>
    <row r="758" spans="1:12" x14ac:dyDescent="0.2">
      <c r="A758" s="106">
        <v>1400</v>
      </c>
      <c r="B758" s="107" t="s">
        <v>282</v>
      </c>
      <c r="C758" s="106">
        <v>4379</v>
      </c>
      <c r="D758" s="106">
        <v>5222</v>
      </c>
      <c r="E758" s="108">
        <v>4379000000001</v>
      </c>
      <c r="F758" s="109" t="s">
        <v>478</v>
      </c>
      <c r="G758" s="96">
        <v>50</v>
      </c>
      <c r="I758" s="96">
        <v>50</v>
      </c>
      <c r="J758" s="96">
        <f>14+13</f>
        <v>27</v>
      </c>
      <c r="K758" s="96">
        <f>10+20+14+11+5</f>
        <v>60</v>
      </c>
      <c r="L758" s="96">
        <f>5+15+10+5+15</f>
        <v>50</v>
      </c>
    </row>
    <row r="759" spans="1:12" ht="13.5" thickBot="1" x14ac:dyDescent="0.25">
      <c r="A759" s="106"/>
      <c r="B759" s="107"/>
      <c r="C759" s="106"/>
      <c r="D759" s="106"/>
      <c r="E759" s="108"/>
      <c r="F759" s="109" t="s">
        <v>503</v>
      </c>
      <c r="G759" s="96"/>
      <c r="I759" s="96"/>
      <c r="J759" s="96"/>
      <c r="K759" s="96"/>
      <c r="L759" s="96"/>
    </row>
    <row r="760" spans="1:12" x14ac:dyDescent="0.2">
      <c r="A760" s="110"/>
      <c r="B760" s="111" t="s">
        <v>17</v>
      </c>
      <c r="C760" s="112">
        <v>4379</v>
      </c>
      <c r="D760" s="113"/>
      <c r="E760" s="114"/>
      <c r="F760" s="115"/>
      <c r="G760" s="116">
        <f t="shared" ref="G760:L760" si="12">SUM(G753:G759)</f>
        <v>210</v>
      </c>
      <c r="I760" s="116">
        <f t="shared" si="12"/>
        <v>210</v>
      </c>
      <c r="J760" s="116">
        <f t="shared" si="12"/>
        <v>99.36699999999999</v>
      </c>
      <c r="K760" s="116">
        <f t="shared" si="12"/>
        <v>133.928</v>
      </c>
      <c r="L760" s="116">
        <f t="shared" si="12"/>
        <v>300.45699999999999</v>
      </c>
    </row>
    <row r="762" spans="1:12" x14ac:dyDescent="0.2">
      <c r="A762" s="124"/>
      <c r="B762" s="125" t="s">
        <v>286</v>
      </c>
      <c r="C762" s="126"/>
      <c r="D762" s="127"/>
      <c r="E762" s="128"/>
      <c r="F762" s="129"/>
      <c r="G762" s="130">
        <f>SUM(G760,G751,G748,G727)</f>
        <v>7569.5</v>
      </c>
      <c r="I762" s="130">
        <f>SUM(I760,I751,I748,I727)</f>
        <v>5610</v>
      </c>
      <c r="J762" s="130">
        <f>SUM(J760,J751,J748,J727)</f>
        <v>4197.2750000000005</v>
      </c>
      <c r="K762" s="130">
        <f>SUM(K760,K751,K748,K727)</f>
        <v>5070.7380000000003</v>
      </c>
      <c r="L762" s="130">
        <f>SUM(L760,L751,L748,L727)</f>
        <v>4598.3509999999997</v>
      </c>
    </row>
    <row r="765" spans="1:12" x14ac:dyDescent="0.2">
      <c r="A765" s="106">
        <v>1500</v>
      </c>
      <c r="B765" s="107" t="s">
        <v>287</v>
      </c>
      <c r="C765" s="106">
        <v>6171</v>
      </c>
      <c r="D765" s="106">
        <v>5011</v>
      </c>
      <c r="E765" s="108">
        <v>6171150000001</v>
      </c>
      <c r="F765" s="109" t="s">
        <v>51</v>
      </c>
      <c r="G765" s="96">
        <v>7047</v>
      </c>
      <c r="I765" s="96">
        <v>6824</v>
      </c>
      <c r="J765" s="96">
        <v>4867.4889999999996</v>
      </c>
      <c r="K765" s="96">
        <v>6518.2150000000001</v>
      </c>
      <c r="L765" s="96">
        <v>5622.3320000000003</v>
      </c>
    </row>
    <row r="766" spans="1:12" x14ac:dyDescent="0.2">
      <c r="A766" s="106">
        <v>1500</v>
      </c>
      <c r="B766" s="107" t="s">
        <v>287</v>
      </c>
      <c r="C766" s="106">
        <v>6171</v>
      </c>
      <c r="D766" s="106">
        <v>5021</v>
      </c>
      <c r="E766" s="108">
        <v>6171150000001</v>
      </c>
      <c r="F766" s="109" t="s">
        <v>181</v>
      </c>
      <c r="G766" s="96">
        <v>50</v>
      </c>
      <c r="I766" s="96">
        <v>50</v>
      </c>
      <c r="J766" s="96">
        <v>21.908000000000001</v>
      </c>
      <c r="K766" s="96">
        <v>11.16</v>
      </c>
      <c r="L766" s="96">
        <v>39.454999999999998</v>
      </c>
    </row>
    <row r="767" spans="1:12" x14ac:dyDescent="0.2">
      <c r="A767" s="106">
        <v>1500</v>
      </c>
      <c r="B767" s="107" t="s">
        <v>287</v>
      </c>
      <c r="C767" s="106">
        <v>6171</v>
      </c>
      <c r="D767" s="106">
        <v>5031</v>
      </c>
      <c r="E767" s="108">
        <v>6171150000001</v>
      </c>
      <c r="F767" s="109" t="s">
        <v>99</v>
      </c>
      <c r="G767" s="96">
        <v>1748</v>
      </c>
      <c r="I767" s="96">
        <v>1692</v>
      </c>
      <c r="J767" s="96">
        <v>1201.9069999999999</v>
      </c>
      <c r="K767" s="96">
        <v>1608.557</v>
      </c>
      <c r="L767" s="96">
        <v>1397.7940000000001</v>
      </c>
    </row>
    <row r="768" spans="1:12" x14ac:dyDescent="0.2">
      <c r="A768" s="106">
        <v>1500</v>
      </c>
      <c r="B768" s="107" t="s">
        <v>287</v>
      </c>
      <c r="C768" s="106">
        <v>6171</v>
      </c>
      <c r="D768" s="106">
        <v>5032</v>
      </c>
      <c r="E768" s="108">
        <v>6171150000001</v>
      </c>
      <c r="F768" s="109" t="s">
        <v>54</v>
      </c>
      <c r="G768" s="96">
        <v>635</v>
      </c>
      <c r="I768" s="96">
        <v>614</v>
      </c>
      <c r="J768" s="96">
        <v>436.16800000000001</v>
      </c>
      <c r="K768" s="96">
        <v>583.75099999999998</v>
      </c>
      <c r="L768" s="96">
        <v>504.96600000000001</v>
      </c>
    </row>
    <row r="769" spans="1:12" x14ac:dyDescent="0.2">
      <c r="A769" s="106">
        <v>1500</v>
      </c>
      <c r="B769" s="107" t="s">
        <v>287</v>
      </c>
      <c r="C769" s="106">
        <v>6171</v>
      </c>
      <c r="D769" s="106">
        <v>5132</v>
      </c>
      <c r="E769" s="108">
        <v>6171150000001</v>
      </c>
      <c r="F769" s="109" t="s">
        <v>33</v>
      </c>
      <c r="G769" s="96">
        <v>0</v>
      </c>
      <c r="I769" s="96"/>
      <c r="J769" s="96"/>
      <c r="K769" s="96">
        <v>0</v>
      </c>
      <c r="L769" s="96">
        <v>0</v>
      </c>
    </row>
    <row r="770" spans="1:12" x14ac:dyDescent="0.2">
      <c r="A770" s="106">
        <v>1500</v>
      </c>
      <c r="B770" s="107" t="s">
        <v>287</v>
      </c>
      <c r="C770" s="106">
        <v>6171</v>
      </c>
      <c r="D770" s="106">
        <v>5134</v>
      </c>
      <c r="E770" s="108">
        <v>6171150000001</v>
      </c>
      <c r="F770" s="109" t="s">
        <v>288</v>
      </c>
      <c r="G770" s="96">
        <v>0</v>
      </c>
      <c r="I770" s="96"/>
      <c r="J770" s="96"/>
      <c r="K770" s="96">
        <v>0</v>
      </c>
      <c r="L770" s="96">
        <v>0</v>
      </c>
    </row>
    <row r="771" spans="1:12" x14ac:dyDescent="0.2">
      <c r="A771" s="106">
        <v>1500</v>
      </c>
      <c r="B771" s="107" t="s">
        <v>287</v>
      </c>
      <c r="C771" s="106">
        <v>6171</v>
      </c>
      <c r="D771" s="106">
        <v>5136</v>
      </c>
      <c r="E771" s="108">
        <v>6171150000001</v>
      </c>
      <c r="F771" s="109" t="s">
        <v>55</v>
      </c>
      <c r="G771" s="96">
        <v>5</v>
      </c>
      <c r="I771" s="96">
        <v>5</v>
      </c>
      <c r="J771" s="96">
        <v>0.24199999999999999</v>
      </c>
      <c r="K771" s="96">
        <v>5.1459999999999999</v>
      </c>
      <c r="L771" s="96">
        <v>3.2610000000000001</v>
      </c>
    </row>
    <row r="772" spans="1:12" x14ac:dyDescent="0.2">
      <c r="A772" s="106">
        <v>1500</v>
      </c>
      <c r="B772" s="107" t="s">
        <v>287</v>
      </c>
      <c r="C772" s="106">
        <v>6171</v>
      </c>
      <c r="D772" s="106">
        <v>5139</v>
      </c>
      <c r="E772" s="108">
        <v>6171150000001</v>
      </c>
      <c r="F772" s="109" t="s">
        <v>56</v>
      </c>
      <c r="G772" s="96">
        <v>5</v>
      </c>
      <c r="I772" s="96">
        <v>5</v>
      </c>
      <c r="J772" s="96">
        <v>0</v>
      </c>
      <c r="K772" s="96">
        <v>0.94899999999999995</v>
      </c>
      <c r="L772" s="96">
        <v>0.52600000000000002</v>
      </c>
    </row>
    <row r="773" spans="1:12" x14ac:dyDescent="0.2">
      <c r="A773" s="106">
        <v>1500</v>
      </c>
      <c r="B773" s="107" t="s">
        <v>287</v>
      </c>
      <c r="C773" s="106">
        <v>6171</v>
      </c>
      <c r="D773" s="106">
        <v>5166</v>
      </c>
      <c r="E773" s="108">
        <v>6171150000001</v>
      </c>
      <c r="F773" s="109" t="s">
        <v>184</v>
      </c>
      <c r="G773" s="96">
        <v>0</v>
      </c>
      <c r="I773" s="96">
        <v>0</v>
      </c>
      <c r="J773" s="96">
        <v>19.965</v>
      </c>
      <c r="K773" s="96">
        <v>84.850999999999999</v>
      </c>
      <c r="L773" s="96">
        <v>59.265000000000001</v>
      </c>
    </row>
    <row r="774" spans="1:12" x14ac:dyDescent="0.2">
      <c r="A774" s="106">
        <v>1500</v>
      </c>
      <c r="B774" s="107" t="s">
        <v>287</v>
      </c>
      <c r="C774" s="106">
        <v>6171</v>
      </c>
      <c r="D774" s="106">
        <v>5167</v>
      </c>
      <c r="E774" s="108">
        <v>6171150000001</v>
      </c>
      <c r="F774" s="109" t="s">
        <v>57</v>
      </c>
      <c r="G774" s="96">
        <v>153</v>
      </c>
      <c r="I774" s="96">
        <v>90</v>
      </c>
      <c r="J774" s="96">
        <v>27.39</v>
      </c>
      <c r="K774" s="96">
        <v>36.866</v>
      </c>
      <c r="L774" s="96">
        <v>60.963999999999999</v>
      </c>
    </row>
    <row r="775" spans="1:12" x14ac:dyDescent="0.2">
      <c r="A775" s="106">
        <v>1500</v>
      </c>
      <c r="B775" s="107" t="s">
        <v>287</v>
      </c>
      <c r="C775" s="106">
        <v>6171</v>
      </c>
      <c r="D775" s="106">
        <v>5173</v>
      </c>
      <c r="E775" s="108">
        <v>6171150000001</v>
      </c>
      <c r="F775" s="109" t="s">
        <v>60</v>
      </c>
      <c r="G775" s="96">
        <v>8</v>
      </c>
      <c r="I775" s="96">
        <v>8</v>
      </c>
      <c r="J775" s="96">
        <v>3.423</v>
      </c>
      <c r="K775" s="96">
        <v>6.2560000000000002</v>
      </c>
      <c r="L775" s="96">
        <v>5.9930000000000003</v>
      </c>
    </row>
    <row r="776" spans="1:12" x14ac:dyDescent="0.2">
      <c r="A776" s="106">
        <v>1500</v>
      </c>
      <c r="B776" s="107" t="s">
        <v>287</v>
      </c>
      <c r="C776" s="106">
        <v>6171</v>
      </c>
      <c r="D776" s="106">
        <v>5175</v>
      </c>
      <c r="E776" s="108">
        <v>6171150000001</v>
      </c>
      <c r="F776" s="109" t="s">
        <v>28</v>
      </c>
      <c r="G776" s="96">
        <v>1.5</v>
      </c>
      <c r="I776" s="96">
        <v>1.5</v>
      </c>
      <c r="J776" s="96">
        <v>0</v>
      </c>
      <c r="K776" s="96">
        <v>0</v>
      </c>
      <c r="L776" s="96">
        <v>0.11</v>
      </c>
    </row>
    <row r="777" spans="1:12" x14ac:dyDescent="0.2">
      <c r="A777" s="106">
        <v>1500</v>
      </c>
      <c r="B777" s="107" t="s">
        <v>287</v>
      </c>
      <c r="C777" s="106">
        <v>6171</v>
      </c>
      <c r="D777" s="106">
        <v>5176</v>
      </c>
      <c r="E777" s="108">
        <v>6171150000001</v>
      </c>
      <c r="F777" s="109" t="s">
        <v>61</v>
      </c>
      <c r="G777" s="96">
        <v>0</v>
      </c>
      <c r="I777" s="96"/>
      <c r="J777" s="96"/>
      <c r="K777" s="96">
        <v>0</v>
      </c>
      <c r="L777" s="96">
        <v>0</v>
      </c>
    </row>
    <row r="778" spans="1:12" x14ac:dyDescent="0.2">
      <c r="A778" s="106">
        <v>1500</v>
      </c>
      <c r="B778" s="107" t="s">
        <v>287</v>
      </c>
      <c r="C778" s="106">
        <v>6171</v>
      </c>
      <c r="D778" s="106">
        <v>5901</v>
      </c>
      <c r="E778" s="108">
        <v>6171150000001</v>
      </c>
      <c r="F778" s="109" t="s">
        <v>479</v>
      </c>
      <c r="G778" s="96">
        <v>70</v>
      </c>
      <c r="I778" s="96">
        <v>70</v>
      </c>
      <c r="J778" s="96"/>
      <c r="K778" s="96">
        <v>0</v>
      </c>
      <c r="L778" s="96"/>
    </row>
    <row r="779" spans="1:12" ht="13.5" thickBot="1" x14ac:dyDescent="0.25">
      <c r="A779" s="106"/>
      <c r="B779" s="107"/>
      <c r="C779" s="106"/>
      <c r="D779" s="106"/>
      <c r="E779" s="108"/>
      <c r="F779" s="109" t="s">
        <v>503</v>
      </c>
      <c r="G779" s="96"/>
      <c r="I779" s="96"/>
      <c r="J779" s="96">
        <f>4</f>
        <v>4</v>
      </c>
      <c r="K779" s="96">
        <f>3.2+16.5</f>
        <v>19.7</v>
      </c>
      <c r="L779" s="96">
        <f>10</f>
        <v>10</v>
      </c>
    </row>
    <row r="780" spans="1:12" x14ac:dyDescent="0.2">
      <c r="A780" s="110"/>
      <c r="B780" s="111" t="s">
        <v>17</v>
      </c>
      <c r="C780" s="112">
        <v>6171</v>
      </c>
      <c r="D780" s="113"/>
      <c r="E780" s="114"/>
      <c r="F780" s="115"/>
      <c r="G780" s="116">
        <f t="shared" ref="G780:L780" si="13">SUM(G765:G779)</f>
        <v>9722.5</v>
      </c>
      <c r="I780" s="116">
        <f t="shared" si="13"/>
        <v>9359.5</v>
      </c>
      <c r="J780" s="116">
        <f t="shared" si="13"/>
        <v>6582.4920000000002</v>
      </c>
      <c r="K780" s="116">
        <f t="shared" si="13"/>
        <v>8875.4510000000009</v>
      </c>
      <c r="L780" s="116">
        <f t="shared" si="13"/>
        <v>7704.6660000000011</v>
      </c>
    </row>
    <row r="782" spans="1:12" x14ac:dyDescent="0.2">
      <c r="A782" s="124"/>
      <c r="B782" s="125" t="s">
        <v>289</v>
      </c>
      <c r="C782" s="126"/>
      <c r="D782" s="127"/>
      <c r="E782" s="128"/>
      <c r="F782" s="129"/>
      <c r="G782" s="130">
        <f t="shared" ref="G782:L782" si="14">SUM(G780)</f>
        <v>9722.5</v>
      </c>
      <c r="I782" s="130">
        <f t="shared" si="14"/>
        <v>9359.5</v>
      </c>
      <c r="J782" s="130">
        <f t="shared" si="14"/>
        <v>6582.4920000000002</v>
      </c>
      <c r="K782" s="130">
        <f t="shared" si="14"/>
        <v>8875.4510000000009</v>
      </c>
      <c r="L782" s="130">
        <f t="shared" si="14"/>
        <v>7704.6660000000011</v>
      </c>
    </row>
    <row r="785" spans="1:12" x14ac:dyDescent="0.2">
      <c r="A785" s="106">
        <v>1600</v>
      </c>
      <c r="B785" s="107" t="s">
        <v>290</v>
      </c>
      <c r="C785" s="106">
        <v>6171</v>
      </c>
      <c r="D785" s="106">
        <v>5011</v>
      </c>
      <c r="E785" s="108">
        <v>6171160000001</v>
      </c>
      <c r="F785" s="109" t="s">
        <v>51</v>
      </c>
      <c r="G785" s="96">
        <v>9248</v>
      </c>
      <c r="I785" s="96">
        <v>8590</v>
      </c>
      <c r="J785" s="96">
        <v>6408.9030000000002</v>
      </c>
      <c r="K785" s="96">
        <v>7464.2160000000003</v>
      </c>
      <c r="L785" s="96">
        <v>6158.7669999999998</v>
      </c>
    </row>
    <row r="786" spans="1:12" x14ac:dyDescent="0.2">
      <c r="A786" s="106">
        <v>1600</v>
      </c>
      <c r="B786" s="107" t="s">
        <v>290</v>
      </c>
      <c r="C786" s="106">
        <v>6171</v>
      </c>
      <c r="D786" s="106">
        <v>5021</v>
      </c>
      <c r="E786" s="108">
        <v>6171160000001</v>
      </c>
      <c r="F786" s="109" t="s">
        <v>98</v>
      </c>
      <c r="G786" s="96">
        <v>30</v>
      </c>
      <c r="I786" s="96">
        <v>30</v>
      </c>
      <c r="J786" s="96">
        <v>16.725000000000001</v>
      </c>
      <c r="K786" s="96">
        <v>34.564999999999998</v>
      </c>
      <c r="L786" s="96">
        <v>58.822000000000003</v>
      </c>
    </row>
    <row r="787" spans="1:12" x14ac:dyDescent="0.2">
      <c r="A787" s="106">
        <v>1600</v>
      </c>
      <c r="B787" s="107" t="s">
        <v>290</v>
      </c>
      <c r="C787" s="106">
        <v>6171</v>
      </c>
      <c r="D787" s="106">
        <v>5031</v>
      </c>
      <c r="E787" s="108">
        <v>6171160000001</v>
      </c>
      <c r="F787" s="109" t="s">
        <v>99</v>
      </c>
      <c r="G787" s="96">
        <v>2294</v>
      </c>
      <c r="I787" s="96">
        <v>2148</v>
      </c>
      <c r="J787" s="96">
        <v>1568.125</v>
      </c>
      <c r="K787" s="96">
        <v>1840.21</v>
      </c>
      <c r="L787" s="96">
        <v>1528.0920000000001</v>
      </c>
    </row>
    <row r="788" spans="1:12" x14ac:dyDescent="0.2">
      <c r="A788" s="106">
        <v>1600</v>
      </c>
      <c r="B788" s="107" t="s">
        <v>290</v>
      </c>
      <c r="C788" s="106">
        <v>6171</v>
      </c>
      <c r="D788" s="106">
        <v>5032</v>
      </c>
      <c r="E788" s="108">
        <v>6171160000001</v>
      </c>
      <c r="F788" s="109" t="s">
        <v>54</v>
      </c>
      <c r="G788" s="96">
        <v>833</v>
      </c>
      <c r="I788" s="96">
        <v>773</v>
      </c>
      <c r="J788" s="96">
        <v>570.96</v>
      </c>
      <c r="K788" s="96">
        <v>667.81799999999998</v>
      </c>
      <c r="L788" s="96">
        <v>552.06399999999996</v>
      </c>
    </row>
    <row r="789" spans="1:12" x14ac:dyDescent="0.2">
      <c r="A789" s="106">
        <v>1600</v>
      </c>
      <c r="B789" s="107" t="s">
        <v>290</v>
      </c>
      <c r="C789" s="106">
        <v>6171</v>
      </c>
      <c r="D789" s="106">
        <v>5136</v>
      </c>
      <c r="E789" s="108">
        <v>6171160000001</v>
      </c>
      <c r="F789" s="109" t="s">
        <v>55</v>
      </c>
      <c r="G789" s="96">
        <v>10</v>
      </c>
      <c r="I789" s="96">
        <v>10</v>
      </c>
      <c r="J789" s="96">
        <v>6.056</v>
      </c>
      <c r="K789" s="96">
        <v>0.59799999999999998</v>
      </c>
      <c r="L789" s="96">
        <v>9.7739999999999991</v>
      </c>
    </row>
    <row r="790" spans="1:12" x14ac:dyDescent="0.2">
      <c r="A790" s="106">
        <v>1600</v>
      </c>
      <c r="B790" s="107" t="s">
        <v>290</v>
      </c>
      <c r="C790" s="106">
        <v>6171</v>
      </c>
      <c r="D790" s="106">
        <v>5139</v>
      </c>
      <c r="E790" s="108">
        <v>6171160000001</v>
      </c>
      <c r="F790" s="109" t="s">
        <v>291</v>
      </c>
      <c r="G790" s="96">
        <v>5</v>
      </c>
      <c r="I790" s="96">
        <v>2</v>
      </c>
      <c r="J790" s="96">
        <v>0</v>
      </c>
      <c r="K790" s="96">
        <v>0</v>
      </c>
      <c r="L790" s="96">
        <v>0</v>
      </c>
    </row>
    <row r="791" spans="1:12" x14ac:dyDescent="0.2">
      <c r="A791" s="106">
        <v>1600</v>
      </c>
      <c r="B791" s="107" t="s">
        <v>290</v>
      </c>
      <c r="C791" s="106">
        <v>6171</v>
      </c>
      <c r="D791" s="106">
        <v>5166</v>
      </c>
      <c r="E791" s="108">
        <v>6171160000001</v>
      </c>
      <c r="F791" s="109" t="s">
        <v>292</v>
      </c>
      <c r="G791" s="96">
        <v>100</v>
      </c>
      <c r="I791" s="96">
        <v>100</v>
      </c>
      <c r="J791" s="96">
        <v>0</v>
      </c>
      <c r="K791" s="96">
        <v>0</v>
      </c>
      <c r="L791" s="96">
        <v>39.283000000000001</v>
      </c>
    </row>
    <row r="792" spans="1:12" x14ac:dyDescent="0.2">
      <c r="A792" s="106">
        <v>1600</v>
      </c>
      <c r="B792" s="107" t="s">
        <v>290</v>
      </c>
      <c r="C792" s="106">
        <v>6171</v>
      </c>
      <c r="D792" s="106">
        <v>5167</v>
      </c>
      <c r="E792" s="108">
        <v>6171160000001</v>
      </c>
      <c r="F792" s="109" t="s">
        <v>87</v>
      </c>
      <c r="G792" s="96">
        <v>189</v>
      </c>
      <c r="I792" s="96">
        <v>140</v>
      </c>
      <c r="J792" s="96">
        <v>32.42</v>
      </c>
      <c r="K792" s="96">
        <v>73.156000000000006</v>
      </c>
      <c r="L792" s="96">
        <v>115.815</v>
      </c>
    </row>
    <row r="793" spans="1:12" x14ac:dyDescent="0.2">
      <c r="A793" s="106">
        <v>1600</v>
      </c>
      <c r="B793" s="107" t="s">
        <v>290</v>
      </c>
      <c r="C793" s="106">
        <v>6171</v>
      </c>
      <c r="D793" s="106">
        <v>5173</v>
      </c>
      <c r="E793" s="108">
        <v>6171160000001</v>
      </c>
      <c r="F793" s="109" t="s">
        <v>60</v>
      </c>
      <c r="G793" s="96">
        <v>45</v>
      </c>
      <c r="I793" s="96">
        <v>20</v>
      </c>
      <c r="J793" s="96">
        <v>6.976</v>
      </c>
      <c r="K793" s="96">
        <v>9.3510000000000009</v>
      </c>
      <c r="L793" s="96">
        <v>15.119</v>
      </c>
    </row>
    <row r="794" spans="1:12" x14ac:dyDescent="0.2">
      <c r="A794" s="106">
        <v>1600</v>
      </c>
      <c r="B794" s="107" t="s">
        <v>290</v>
      </c>
      <c r="C794" s="106">
        <v>6171</v>
      </c>
      <c r="D794" s="106">
        <v>5175</v>
      </c>
      <c r="E794" s="108">
        <v>6171160000001</v>
      </c>
      <c r="F794" s="109" t="s">
        <v>28</v>
      </c>
      <c r="G794" s="96">
        <v>3</v>
      </c>
      <c r="I794" s="96"/>
      <c r="J794" s="96">
        <v>0.246</v>
      </c>
      <c r="K794" s="96">
        <v>0</v>
      </c>
      <c r="L794" s="96"/>
    </row>
    <row r="795" spans="1:12" ht="13.5" thickBot="1" x14ac:dyDescent="0.25">
      <c r="A795" s="106"/>
      <c r="B795" s="107"/>
      <c r="C795" s="106"/>
      <c r="D795" s="106"/>
      <c r="E795" s="108"/>
      <c r="F795" s="109" t="s">
        <v>503</v>
      </c>
      <c r="G795" s="96"/>
      <c r="I795" s="96"/>
      <c r="J795" s="96"/>
      <c r="K795" s="96"/>
      <c r="L795" s="96"/>
    </row>
    <row r="796" spans="1:12" x14ac:dyDescent="0.2">
      <c r="A796" s="110"/>
      <c r="B796" s="111" t="s">
        <v>17</v>
      </c>
      <c r="C796" s="112">
        <v>6171</v>
      </c>
      <c r="D796" s="113"/>
      <c r="E796" s="114"/>
      <c r="F796" s="115"/>
      <c r="G796" s="116">
        <f t="shared" ref="G796:L796" si="15">SUM(G785:G795)</f>
        <v>12757</v>
      </c>
      <c r="I796" s="116">
        <f t="shared" si="15"/>
        <v>11813</v>
      </c>
      <c r="J796" s="116">
        <f t="shared" si="15"/>
        <v>8610.4110000000001</v>
      </c>
      <c r="K796" s="116">
        <f t="shared" si="15"/>
        <v>10089.914000000001</v>
      </c>
      <c r="L796" s="116">
        <f t="shared" si="15"/>
        <v>8477.7360000000008</v>
      </c>
    </row>
    <row r="798" spans="1:12" x14ac:dyDescent="0.2">
      <c r="A798" s="124"/>
      <c r="B798" s="125" t="s">
        <v>293</v>
      </c>
      <c r="C798" s="126"/>
      <c r="D798" s="127"/>
      <c r="E798" s="128"/>
      <c r="F798" s="129"/>
      <c r="G798" s="130">
        <f t="shared" ref="G798:L798" si="16">SUM(G796)</f>
        <v>12757</v>
      </c>
      <c r="I798" s="130">
        <f t="shared" si="16"/>
        <v>11813</v>
      </c>
      <c r="J798" s="130">
        <f t="shared" si="16"/>
        <v>8610.4110000000001</v>
      </c>
      <c r="K798" s="130">
        <f t="shared" si="16"/>
        <v>10089.914000000001</v>
      </c>
      <c r="L798" s="130">
        <f t="shared" si="16"/>
        <v>8477.7360000000008</v>
      </c>
    </row>
    <row r="801" spans="1:12" x14ac:dyDescent="0.2">
      <c r="A801" s="106">
        <v>1700</v>
      </c>
      <c r="B801" s="107" t="s">
        <v>294</v>
      </c>
      <c r="C801" s="106">
        <v>6171</v>
      </c>
      <c r="D801" s="106">
        <v>5011</v>
      </c>
      <c r="E801" s="108">
        <v>6171170000001</v>
      </c>
      <c r="F801" s="109" t="s">
        <v>51</v>
      </c>
      <c r="G801" s="96">
        <v>2304</v>
      </c>
      <c r="I801" s="96">
        <v>2124</v>
      </c>
      <c r="J801" s="96">
        <v>1647.54</v>
      </c>
      <c r="K801" s="96">
        <v>2181.6469999999999</v>
      </c>
      <c r="L801" s="96">
        <v>2073.7049999999999</v>
      </c>
    </row>
    <row r="802" spans="1:12" x14ac:dyDescent="0.2">
      <c r="A802" s="106">
        <v>1700</v>
      </c>
      <c r="B802" s="107" t="s">
        <v>294</v>
      </c>
      <c r="C802" s="106">
        <v>6171</v>
      </c>
      <c r="D802" s="106">
        <v>5031</v>
      </c>
      <c r="E802" s="108">
        <v>6171170000001</v>
      </c>
      <c r="F802" s="109" t="s">
        <v>295</v>
      </c>
      <c r="G802" s="96">
        <v>572</v>
      </c>
      <c r="I802" s="96">
        <v>531</v>
      </c>
      <c r="J802" s="96">
        <v>401.72199999999998</v>
      </c>
      <c r="K802" s="96">
        <v>538.79600000000005</v>
      </c>
      <c r="L802" s="96">
        <v>515.64599999999996</v>
      </c>
    </row>
    <row r="803" spans="1:12" x14ac:dyDescent="0.2">
      <c r="A803" s="106">
        <v>1700</v>
      </c>
      <c r="B803" s="107" t="s">
        <v>294</v>
      </c>
      <c r="C803" s="106">
        <v>6171</v>
      </c>
      <c r="D803" s="106">
        <v>5032</v>
      </c>
      <c r="E803" s="108">
        <v>6171170000001</v>
      </c>
      <c r="F803" s="109" t="s">
        <v>69</v>
      </c>
      <c r="G803" s="96">
        <v>208</v>
      </c>
      <c r="I803" s="96">
        <v>191</v>
      </c>
      <c r="J803" s="96">
        <v>147.322</v>
      </c>
      <c r="K803" s="96">
        <v>195.53200000000001</v>
      </c>
      <c r="L803" s="96">
        <v>186.285</v>
      </c>
    </row>
    <row r="804" spans="1:12" x14ac:dyDescent="0.2">
      <c r="A804" s="106">
        <v>1700</v>
      </c>
      <c r="B804" s="107" t="s">
        <v>294</v>
      </c>
      <c r="C804" s="106">
        <v>6171</v>
      </c>
      <c r="D804" s="106">
        <v>5136</v>
      </c>
      <c r="E804" s="108">
        <v>6171170000001</v>
      </c>
      <c r="F804" s="109" t="s">
        <v>55</v>
      </c>
      <c r="G804" s="96">
        <v>5</v>
      </c>
      <c r="I804" s="96">
        <v>10</v>
      </c>
      <c r="J804" s="96">
        <v>4.6079999999999997</v>
      </c>
      <c r="K804" s="96">
        <v>6.31</v>
      </c>
      <c r="L804" s="96">
        <v>7.9269999999999996</v>
      </c>
    </row>
    <row r="805" spans="1:12" x14ac:dyDescent="0.2">
      <c r="A805" s="106">
        <v>1700</v>
      </c>
      <c r="B805" s="107" t="s">
        <v>294</v>
      </c>
      <c r="C805" s="106">
        <v>6171</v>
      </c>
      <c r="D805" s="106">
        <v>5166</v>
      </c>
      <c r="E805" s="108">
        <v>6171170000001</v>
      </c>
      <c r="F805" s="109" t="s">
        <v>129</v>
      </c>
      <c r="G805" s="96">
        <v>77</v>
      </c>
      <c r="I805" s="96">
        <v>77</v>
      </c>
      <c r="J805" s="96">
        <v>50.973999999999997</v>
      </c>
      <c r="K805" s="96">
        <v>24.36</v>
      </c>
      <c r="L805" s="96">
        <v>88.05</v>
      </c>
    </row>
    <row r="806" spans="1:12" x14ac:dyDescent="0.2">
      <c r="A806" s="106">
        <v>1700</v>
      </c>
      <c r="B806" s="107" t="s">
        <v>294</v>
      </c>
      <c r="C806" s="106">
        <v>6171</v>
      </c>
      <c r="D806" s="106">
        <v>5167</v>
      </c>
      <c r="E806" s="108">
        <v>6171170000001</v>
      </c>
      <c r="F806" s="109" t="s">
        <v>57</v>
      </c>
      <c r="G806" s="96">
        <v>30</v>
      </c>
      <c r="I806" s="96">
        <v>50</v>
      </c>
      <c r="J806" s="96">
        <v>9.5879999999999992</v>
      </c>
      <c r="K806" s="96">
        <v>24.513999999999999</v>
      </c>
      <c r="L806" s="96">
        <v>34.834000000000003</v>
      </c>
    </row>
    <row r="807" spans="1:12" x14ac:dyDescent="0.2">
      <c r="A807" s="106">
        <v>1700</v>
      </c>
      <c r="B807" s="107" t="s">
        <v>294</v>
      </c>
      <c r="C807" s="106">
        <v>6171</v>
      </c>
      <c r="D807" s="106">
        <v>5169</v>
      </c>
      <c r="E807" s="108">
        <v>6171170000001</v>
      </c>
      <c r="F807" s="109" t="s">
        <v>296</v>
      </c>
      <c r="G807" s="96">
        <v>10</v>
      </c>
      <c r="I807" s="96">
        <v>15</v>
      </c>
      <c r="J807" s="96">
        <v>0</v>
      </c>
      <c r="K807" s="96">
        <v>0</v>
      </c>
      <c r="L807" s="96">
        <v>0</v>
      </c>
    </row>
    <row r="808" spans="1:12" x14ac:dyDescent="0.2">
      <c r="A808" s="106">
        <v>1700</v>
      </c>
      <c r="B808" s="107" t="s">
        <v>294</v>
      </c>
      <c r="C808" s="106">
        <v>6171</v>
      </c>
      <c r="D808" s="106">
        <v>5173</v>
      </c>
      <c r="E808" s="108">
        <v>6171170000001</v>
      </c>
      <c r="F808" s="109" t="s">
        <v>60</v>
      </c>
      <c r="G808" s="96">
        <f>8+7</f>
        <v>15</v>
      </c>
      <c r="I808" s="96">
        <v>10</v>
      </c>
      <c r="J808" s="96">
        <v>6.8070000000000004</v>
      </c>
      <c r="K808" s="96">
        <v>10.029999999999999</v>
      </c>
      <c r="L808" s="96">
        <v>9.8360000000000003</v>
      </c>
    </row>
    <row r="809" spans="1:12" x14ac:dyDescent="0.2">
      <c r="A809" s="106">
        <v>1700</v>
      </c>
      <c r="B809" s="107" t="s">
        <v>294</v>
      </c>
      <c r="C809" s="106">
        <v>6171</v>
      </c>
      <c r="D809" s="106">
        <v>5175</v>
      </c>
      <c r="E809" s="108">
        <v>6171170000001</v>
      </c>
      <c r="F809" s="109" t="s">
        <v>28</v>
      </c>
      <c r="G809" s="96">
        <v>2</v>
      </c>
      <c r="I809" s="96">
        <v>2</v>
      </c>
      <c r="J809" s="96">
        <v>0</v>
      </c>
      <c r="K809" s="96">
        <v>0</v>
      </c>
      <c r="L809" s="96">
        <v>0</v>
      </c>
    </row>
    <row r="810" spans="1:12" ht="13.5" thickBot="1" x14ac:dyDescent="0.25">
      <c r="A810" s="106"/>
      <c r="B810" s="107"/>
      <c r="C810" s="106"/>
      <c r="D810" s="106"/>
      <c r="E810" s="108"/>
      <c r="F810" s="109" t="s">
        <v>503</v>
      </c>
      <c r="G810" s="96"/>
      <c r="I810" s="96"/>
      <c r="J810" s="96">
        <f>4.114+5-6.55</f>
        <v>2.5640000000000009</v>
      </c>
      <c r="K810" s="96">
        <f>15.2+12.076</f>
        <v>27.276</v>
      </c>
      <c r="L810" s="96">
        <f>5+5</f>
        <v>10</v>
      </c>
    </row>
    <row r="811" spans="1:12" x14ac:dyDescent="0.2">
      <c r="A811" s="110"/>
      <c r="B811" s="111" t="s">
        <v>17</v>
      </c>
      <c r="C811" s="112">
        <v>6171</v>
      </c>
      <c r="D811" s="113"/>
      <c r="E811" s="114"/>
      <c r="F811" s="115"/>
      <c r="G811" s="116">
        <f t="shared" ref="G811:L811" si="17">SUM(G801:G810)</f>
        <v>3223</v>
      </c>
      <c r="I811" s="116">
        <f t="shared" si="17"/>
        <v>3010</v>
      </c>
      <c r="J811" s="116">
        <f t="shared" si="17"/>
        <v>2271.125</v>
      </c>
      <c r="K811" s="116">
        <f t="shared" si="17"/>
        <v>3008.4650000000006</v>
      </c>
      <c r="L811" s="116">
        <f t="shared" si="17"/>
        <v>2926.2829999999994</v>
      </c>
    </row>
    <row r="813" spans="1:12" x14ac:dyDescent="0.2">
      <c r="A813" s="124"/>
      <c r="B813" s="125" t="s">
        <v>297</v>
      </c>
      <c r="C813" s="126"/>
      <c r="D813" s="127"/>
      <c r="E813" s="128"/>
      <c r="F813" s="129"/>
      <c r="G813" s="130">
        <f t="shared" ref="G813:L813" si="18">SUM(G811)</f>
        <v>3223</v>
      </c>
      <c r="I813" s="130">
        <f t="shared" si="18"/>
        <v>3010</v>
      </c>
      <c r="J813" s="130">
        <f t="shared" si="18"/>
        <v>2271.125</v>
      </c>
      <c r="K813" s="130">
        <f t="shared" si="18"/>
        <v>3008.4650000000006</v>
      </c>
      <c r="L813" s="130">
        <f t="shared" si="18"/>
        <v>2926.2829999999994</v>
      </c>
    </row>
    <row r="816" spans="1:12" x14ac:dyDescent="0.2">
      <c r="A816" s="106">
        <v>2000</v>
      </c>
      <c r="B816" s="107" t="s">
        <v>298</v>
      </c>
      <c r="C816" s="106">
        <v>5311</v>
      </c>
      <c r="D816" s="106">
        <v>5011</v>
      </c>
      <c r="E816" s="108">
        <v>5311000000001</v>
      </c>
      <c r="F816" s="109" t="s">
        <v>299</v>
      </c>
      <c r="G816" s="96">
        <v>8300</v>
      </c>
      <c r="I816" s="96">
        <v>9500</v>
      </c>
      <c r="J816" s="96">
        <v>5638.8990000000003</v>
      </c>
      <c r="K816" s="96">
        <v>7738.1419999999998</v>
      </c>
      <c r="L816" s="96">
        <v>7424.8209999999999</v>
      </c>
    </row>
    <row r="817" spans="1:12" x14ac:dyDescent="0.2">
      <c r="A817" s="106">
        <v>2000</v>
      </c>
      <c r="B817" s="107" t="s">
        <v>298</v>
      </c>
      <c r="C817" s="106">
        <v>5311</v>
      </c>
      <c r="D817" s="106">
        <v>5021</v>
      </c>
      <c r="E817" s="108">
        <v>5311000000001</v>
      </c>
      <c r="F817" s="109" t="s">
        <v>52</v>
      </c>
      <c r="G817" s="96">
        <v>160</v>
      </c>
      <c r="I817" s="96">
        <v>80</v>
      </c>
      <c r="J817" s="96">
        <v>89.751999999999995</v>
      </c>
      <c r="K817" s="96">
        <v>39.6</v>
      </c>
      <c r="L817" s="96">
        <v>0</v>
      </c>
    </row>
    <row r="818" spans="1:12" x14ac:dyDescent="0.2">
      <c r="A818" s="106">
        <v>2000</v>
      </c>
      <c r="B818" s="107" t="s">
        <v>298</v>
      </c>
      <c r="C818" s="106">
        <v>5311</v>
      </c>
      <c r="D818" s="106">
        <v>5031</v>
      </c>
      <c r="E818" s="108">
        <v>5311000000001</v>
      </c>
      <c r="F818" s="109" t="s">
        <v>143</v>
      </c>
      <c r="G818" s="96">
        <v>2059</v>
      </c>
      <c r="I818" s="96">
        <v>2356</v>
      </c>
      <c r="J818" s="96">
        <v>1388.2180000000001</v>
      </c>
      <c r="K818" s="96">
        <v>1897.5</v>
      </c>
      <c r="L818" s="96">
        <v>1844.182</v>
      </c>
    </row>
    <row r="819" spans="1:12" x14ac:dyDescent="0.2">
      <c r="A819" s="106">
        <v>2000</v>
      </c>
      <c r="B819" s="107" t="s">
        <v>298</v>
      </c>
      <c r="C819" s="106">
        <v>5311</v>
      </c>
      <c r="D819" s="106">
        <v>5032</v>
      </c>
      <c r="E819" s="108">
        <v>5311000000001</v>
      </c>
      <c r="F819" s="109" t="s">
        <v>300</v>
      </c>
      <c r="G819" s="96">
        <v>747</v>
      </c>
      <c r="I819" s="96">
        <v>855</v>
      </c>
      <c r="J819" s="96">
        <v>505.673</v>
      </c>
      <c r="K819" s="96">
        <v>688.61</v>
      </c>
      <c r="L819" s="96">
        <v>666.26</v>
      </c>
    </row>
    <row r="820" spans="1:12" x14ac:dyDescent="0.2">
      <c r="A820" s="106">
        <v>2000</v>
      </c>
      <c r="B820" s="107" t="s">
        <v>298</v>
      </c>
      <c r="C820" s="106">
        <v>5311</v>
      </c>
      <c r="D820" s="106">
        <v>5131</v>
      </c>
      <c r="E820" s="108">
        <v>5311000000001</v>
      </c>
      <c r="F820" s="109" t="s">
        <v>253</v>
      </c>
      <c r="G820" s="96">
        <v>7</v>
      </c>
      <c r="I820" s="96">
        <v>7</v>
      </c>
      <c r="J820" s="96">
        <v>1.1830000000000001</v>
      </c>
      <c r="K820" s="96">
        <v>3.8839999999999999</v>
      </c>
      <c r="L820" s="96">
        <v>3.9489999999999998</v>
      </c>
    </row>
    <row r="821" spans="1:12" x14ac:dyDescent="0.2">
      <c r="A821" s="106">
        <v>2000</v>
      </c>
      <c r="B821" s="107" t="s">
        <v>298</v>
      </c>
      <c r="C821" s="106">
        <v>5311</v>
      </c>
      <c r="D821" s="106">
        <v>5132</v>
      </c>
      <c r="E821" s="108">
        <v>5311000000001</v>
      </c>
      <c r="F821" s="109" t="s">
        <v>33</v>
      </c>
      <c r="G821" s="96">
        <v>30</v>
      </c>
      <c r="I821" s="96">
        <v>30</v>
      </c>
      <c r="J821" s="96">
        <v>8.6219999999999999</v>
      </c>
      <c r="K821" s="96">
        <v>27.777999999999999</v>
      </c>
      <c r="L821" s="96">
        <v>26.925999999999998</v>
      </c>
    </row>
    <row r="822" spans="1:12" x14ac:dyDescent="0.2">
      <c r="A822" s="106">
        <v>2000</v>
      </c>
      <c r="B822" s="107" t="s">
        <v>298</v>
      </c>
      <c r="C822" s="106">
        <v>5311</v>
      </c>
      <c r="D822" s="106">
        <v>5134</v>
      </c>
      <c r="E822" s="108">
        <v>5311000000001</v>
      </c>
      <c r="F822" s="109" t="s">
        <v>270</v>
      </c>
      <c r="G822" s="96">
        <v>190</v>
      </c>
      <c r="I822" s="96">
        <v>250</v>
      </c>
      <c r="J822" s="96">
        <v>140.667</v>
      </c>
      <c r="K822" s="96">
        <v>176.44399999999999</v>
      </c>
      <c r="L822" s="96">
        <v>123.801</v>
      </c>
    </row>
    <row r="823" spans="1:12" x14ac:dyDescent="0.2">
      <c r="A823" s="106">
        <v>2000</v>
      </c>
      <c r="B823" s="107" t="s">
        <v>298</v>
      </c>
      <c r="C823" s="106">
        <v>5311</v>
      </c>
      <c r="D823" s="106">
        <v>5136</v>
      </c>
      <c r="E823" s="108">
        <v>5311000000001</v>
      </c>
      <c r="F823" s="109" t="s">
        <v>55</v>
      </c>
      <c r="G823" s="96">
        <v>5</v>
      </c>
      <c r="I823" s="96">
        <v>5</v>
      </c>
      <c r="J823" s="96">
        <v>0</v>
      </c>
      <c r="K823" s="96">
        <v>2.9049999999999998</v>
      </c>
      <c r="L823" s="96">
        <v>0</v>
      </c>
    </row>
    <row r="824" spans="1:12" x14ac:dyDescent="0.2">
      <c r="A824" s="106">
        <v>2000</v>
      </c>
      <c r="B824" s="107" t="s">
        <v>298</v>
      </c>
      <c r="C824" s="106">
        <v>5311</v>
      </c>
      <c r="D824" s="106">
        <v>5137</v>
      </c>
      <c r="E824" s="108">
        <v>5311000000001</v>
      </c>
      <c r="F824" s="109" t="s">
        <v>278</v>
      </c>
      <c r="G824" s="96">
        <v>300</v>
      </c>
      <c r="I824" s="96">
        <v>460</v>
      </c>
      <c r="J824" s="96">
        <v>27.744</v>
      </c>
      <c r="K824" s="96">
        <v>214.97800000000001</v>
      </c>
      <c r="L824" s="96">
        <v>101.245</v>
      </c>
    </row>
    <row r="825" spans="1:12" x14ac:dyDescent="0.2">
      <c r="A825" s="106">
        <v>2000</v>
      </c>
      <c r="B825" s="107" t="s">
        <v>298</v>
      </c>
      <c r="C825" s="106">
        <v>5311</v>
      </c>
      <c r="D825" s="106">
        <v>5137</v>
      </c>
      <c r="E825" s="108">
        <v>5311000000001</v>
      </c>
      <c r="F825" s="109" t="s">
        <v>480</v>
      </c>
      <c r="G825" s="96">
        <v>0</v>
      </c>
      <c r="I825" s="96"/>
      <c r="J825" s="96"/>
      <c r="K825" s="96"/>
      <c r="L825" s="96"/>
    </row>
    <row r="826" spans="1:12" x14ac:dyDescent="0.2">
      <c r="A826" s="106">
        <v>2000</v>
      </c>
      <c r="B826" s="107" t="s">
        <v>298</v>
      </c>
      <c r="C826" s="106">
        <v>5311</v>
      </c>
      <c r="D826" s="106">
        <v>5139</v>
      </c>
      <c r="E826" s="108">
        <v>5311000000001</v>
      </c>
      <c r="F826" s="109" t="s">
        <v>56</v>
      </c>
      <c r="G826" s="96">
        <v>90</v>
      </c>
      <c r="I826" s="96">
        <v>120</v>
      </c>
      <c r="J826" s="96">
        <v>38.988999999999997</v>
      </c>
      <c r="K826" s="96">
        <v>47.847999999999999</v>
      </c>
      <c r="L826" s="96">
        <v>111.501</v>
      </c>
    </row>
    <row r="827" spans="1:12" x14ac:dyDescent="0.2">
      <c r="A827" s="106">
        <v>2000</v>
      </c>
      <c r="B827" s="107" t="s">
        <v>298</v>
      </c>
      <c r="C827" s="106">
        <v>5311</v>
      </c>
      <c r="D827" s="106">
        <v>5153</v>
      </c>
      <c r="E827" s="108">
        <v>5311000000001</v>
      </c>
      <c r="F827" s="109" t="s">
        <v>214</v>
      </c>
      <c r="G827" s="96">
        <f>2*0</f>
        <v>0</v>
      </c>
      <c r="I827" s="96">
        <v>20</v>
      </c>
      <c r="J827" s="96">
        <v>0</v>
      </c>
      <c r="K827" s="96">
        <v>7.3540000000000001</v>
      </c>
      <c r="L827" s="96">
        <v>21.428999999999998</v>
      </c>
    </row>
    <row r="828" spans="1:12" x14ac:dyDescent="0.2">
      <c r="A828" s="106">
        <v>2000</v>
      </c>
      <c r="B828" s="107" t="s">
        <v>298</v>
      </c>
      <c r="C828" s="106">
        <v>5311</v>
      </c>
      <c r="D828" s="106">
        <v>5154</v>
      </c>
      <c r="E828" s="108">
        <v>5311000000001</v>
      </c>
      <c r="F828" s="109" t="s">
        <v>301</v>
      </c>
      <c r="G828" s="96">
        <f>2*100</f>
        <v>200</v>
      </c>
      <c r="I828" s="96">
        <v>100</v>
      </c>
      <c r="J828" s="96">
        <v>51.271000000000001</v>
      </c>
      <c r="K828" s="96">
        <v>106.46</v>
      </c>
      <c r="L828" s="96">
        <v>65.457999999999998</v>
      </c>
    </row>
    <row r="829" spans="1:12" x14ac:dyDescent="0.2">
      <c r="A829" s="106">
        <v>2000</v>
      </c>
      <c r="B829" s="107" t="s">
        <v>298</v>
      </c>
      <c r="C829" s="106">
        <v>5311</v>
      </c>
      <c r="D829" s="106">
        <v>5156</v>
      </c>
      <c r="E829" s="108">
        <v>5311000000001</v>
      </c>
      <c r="F829" s="109" t="s">
        <v>105</v>
      </c>
      <c r="G829" s="96">
        <f>210+50</f>
        <v>260</v>
      </c>
      <c r="I829" s="96">
        <v>260</v>
      </c>
      <c r="J829" s="96">
        <v>165.482</v>
      </c>
      <c r="K829" s="96">
        <v>225.71100000000001</v>
      </c>
      <c r="L829" s="96">
        <v>264.62700000000001</v>
      </c>
    </row>
    <row r="830" spans="1:12" x14ac:dyDescent="0.2">
      <c r="A830" s="106">
        <v>2000</v>
      </c>
      <c r="B830" s="107" t="s">
        <v>298</v>
      </c>
      <c r="C830" s="106">
        <v>5311</v>
      </c>
      <c r="D830" s="106">
        <v>5161</v>
      </c>
      <c r="E830" s="108">
        <v>5311000000001</v>
      </c>
      <c r="F830" s="109" t="s">
        <v>81</v>
      </c>
      <c r="G830" s="96">
        <v>3</v>
      </c>
      <c r="I830" s="96">
        <v>3</v>
      </c>
      <c r="J830" s="96">
        <v>0</v>
      </c>
      <c r="K830" s="96">
        <v>0.36899999999999999</v>
      </c>
      <c r="L830" s="96">
        <v>0.24399999999999999</v>
      </c>
    </row>
    <row r="831" spans="1:12" x14ac:dyDescent="0.2">
      <c r="A831" s="106">
        <v>2000</v>
      </c>
      <c r="B831" s="107" t="s">
        <v>298</v>
      </c>
      <c r="C831" s="106">
        <v>5311</v>
      </c>
      <c r="D831" s="106">
        <v>5162</v>
      </c>
      <c r="E831" s="108">
        <v>5311000000001</v>
      </c>
      <c r="F831" s="109" t="s">
        <v>302</v>
      </c>
      <c r="G831" s="96">
        <v>100</v>
      </c>
      <c r="I831" s="96">
        <v>110</v>
      </c>
      <c r="J831" s="96">
        <v>43.959000000000003</v>
      </c>
      <c r="K831" s="96">
        <v>63.151000000000003</v>
      </c>
      <c r="L831" s="96">
        <v>85.89</v>
      </c>
    </row>
    <row r="832" spans="1:12" x14ac:dyDescent="0.2">
      <c r="A832" s="106">
        <v>2000</v>
      </c>
      <c r="B832" s="107" t="s">
        <v>298</v>
      </c>
      <c r="C832" s="106">
        <v>5311</v>
      </c>
      <c r="D832" s="106">
        <v>5166</v>
      </c>
      <c r="E832" s="108">
        <v>5311000000001</v>
      </c>
      <c r="F832" s="109" t="s">
        <v>303</v>
      </c>
      <c r="G832" s="96">
        <v>0</v>
      </c>
      <c r="I832" s="96"/>
      <c r="J832" s="96"/>
      <c r="K832" s="96">
        <v>0</v>
      </c>
      <c r="L832" s="96">
        <v>0</v>
      </c>
    </row>
    <row r="833" spans="1:12" x14ac:dyDescent="0.2">
      <c r="A833" s="106">
        <v>2000</v>
      </c>
      <c r="B833" s="107" t="s">
        <v>298</v>
      </c>
      <c r="C833" s="106">
        <v>5311</v>
      </c>
      <c r="D833" s="106">
        <v>5167</v>
      </c>
      <c r="E833" s="108">
        <v>5311000000001</v>
      </c>
      <c r="F833" s="109" t="s">
        <v>87</v>
      </c>
      <c r="G833" s="96">
        <v>70</v>
      </c>
      <c r="I833" s="96">
        <v>100</v>
      </c>
      <c r="J833" s="96">
        <v>4.8479999999999999</v>
      </c>
      <c r="K833" s="96">
        <v>109.75</v>
      </c>
      <c r="L833" s="96">
        <v>29.86</v>
      </c>
    </row>
    <row r="834" spans="1:12" x14ac:dyDescent="0.2">
      <c r="A834" s="106">
        <v>2000</v>
      </c>
      <c r="B834" s="107" t="s">
        <v>298</v>
      </c>
      <c r="C834" s="106">
        <v>5311</v>
      </c>
      <c r="D834" s="106">
        <v>5168</v>
      </c>
      <c r="E834" s="108">
        <v>5311000000001</v>
      </c>
      <c r="F834" s="109" t="s">
        <v>634</v>
      </c>
      <c r="G834" s="96">
        <v>110</v>
      </c>
      <c r="I834" s="96">
        <v>100</v>
      </c>
      <c r="J834" s="96">
        <v>74.052000000000007</v>
      </c>
      <c r="K834" s="96">
        <v>98.736000000000004</v>
      </c>
      <c r="L834" s="96">
        <v>98.736000000000004</v>
      </c>
    </row>
    <row r="835" spans="1:12" x14ac:dyDescent="0.2">
      <c r="A835" s="106">
        <v>2000</v>
      </c>
      <c r="B835" s="107" t="s">
        <v>298</v>
      </c>
      <c r="C835" s="106">
        <v>5311</v>
      </c>
      <c r="D835" s="106">
        <v>5169</v>
      </c>
      <c r="E835" s="108">
        <v>5311000000001</v>
      </c>
      <c r="F835" s="109" t="s">
        <v>481</v>
      </c>
      <c r="G835" s="96">
        <v>125</v>
      </c>
      <c r="I835" s="96">
        <v>140</v>
      </c>
      <c r="J835" s="96">
        <v>53.658999999999999</v>
      </c>
      <c r="K835" s="96">
        <v>140.852</v>
      </c>
      <c r="L835" s="96">
        <v>124.297</v>
      </c>
    </row>
    <row r="836" spans="1:12" x14ac:dyDescent="0.2">
      <c r="A836" s="106">
        <v>2000</v>
      </c>
      <c r="B836" s="107" t="s">
        <v>298</v>
      </c>
      <c r="C836" s="106">
        <v>5311</v>
      </c>
      <c r="D836" s="106">
        <v>5171</v>
      </c>
      <c r="E836" s="108">
        <v>5311000000001</v>
      </c>
      <c r="F836" s="109" t="s">
        <v>108</v>
      </c>
      <c r="G836" s="96">
        <v>240</v>
      </c>
      <c r="I836" s="96">
        <v>200</v>
      </c>
      <c r="J836" s="96">
        <v>145.16800000000001</v>
      </c>
      <c r="K836" s="96">
        <v>141.80500000000001</v>
      </c>
      <c r="L836" s="96">
        <v>168.62299999999999</v>
      </c>
    </row>
    <row r="837" spans="1:12" x14ac:dyDescent="0.2">
      <c r="A837" s="106">
        <v>2000</v>
      </c>
      <c r="B837" s="107" t="s">
        <v>298</v>
      </c>
      <c r="C837" s="106">
        <v>5311</v>
      </c>
      <c r="D837" s="106">
        <v>5172</v>
      </c>
      <c r="E837" s="108">
        <v>5311000000001</v>
      </c>
      <c r="F837" s="109" t="s">
        <v>482</v>
      </c>
      <c r="G837" s="96">
        <v>40</v>
      </c>
      <c r="I837" s="96">
        <v>40</v>
      </c>
      <c r="J837" s="96">
        <v>0</v>
      </c>
      <c r="K837" s="96"/>
      <c r="L837" s="96"/>
    </row>
    <row r="838" spans="1:12" x14ac:dyDescent="0.2">
      <c r="A838" s="106">
        <v>2000</v>
      </c>
      <c r="B838" s="107" t="s">
        <v>298</v>
      </c>
      <c r="C838" s="106">
        <v>5311</v>
      </c>
      <c r="D838" s="106">
        <v>5173</v>
      </c>
      <c r="E838" s="108">
        <v>5311000000001</v>
      </c>
      <c r="F838" s="109" t="s">
        <v>60</v>
      </c>
      <c r="G838" s="96">
        <v>5</v>
      </c>
      <c r="I838" s="96">
        <v>5</v>
      </c>
      <c r="J838" s="96">
        <v>0</v>
      </c>
      <c r="K838" s="96">
        <v>0</v>
      </c>
      <c r="L838" s="96">
        <v>0</v>
      </c>
    </row>
    <row r="839" spans="1:12" x14ac:dyDescent="0.2">
      <c r="A839" s="106">
        <v>2000</v>
      </c>
      <c r="B839" s="107" t="s">
        <v>298</v>
      </c>
      <c r="C839" s="106">
        <v>5311</v>
      </c>
      <c r="D839" s="106">
        <v>5175</v>
      </c>
      <c r="E839" s="108">
        <v>5311000000001</v>
      </c>
      <c r="F839" s="109" t="s">
        <v>28</v>
      </c>
      <c r="G839" s="96">
        <v>5</v>
      </c>
      <c r="I839" s="96">
        <v>5</v>
      </c>
      <c r="J839" s="96">
        <v>0.47899999999999998</v>
      </c>
      <c r="K839" s="96">
        <v>0.22700000000000001</v>
      </c>
      <c r="L839" s="96">
        <v>0</v>
      </c>
    </row>
    <row r="840" spans="1:12" x14ac:dyDescent="0.2">
      <c r="A840" s="106">
        <v>2000</v>
      </c>
      <c r="B840" s="107" t="s">
        <v>298</v>
      </c>
      <c r="C840" s="106">
        <v>5311</v>
      </c>
      <c r="D840" s="106">
        <v>5361</v>
      </c>
      <c r="E840" s="108">
        <v>5311000000001</v>
      </c>
      <c r="F840" s="109" t="s">
        <v>120</v>
      </c>
      <c r="G840" s="96">
        <v>6</v>
      </c>
      <c r="I840" s="96">
        <v>10</v>
      </c>
      <c r="J840" s="96">
        <v>0</v>
      </c>
      <c r="K840" s="96">
        <v>5</v>
      </c>
      <c r="L840" s="96">
        <v>4.4000000000000004</v>
      </c>
    </row>
    <row r="841" spans="1:12" x14ac:dyDescent="0.2">
      <c r="A841" s="106">
        <v>2000</v>
      </c>
      <c r="B841" s="107" t="s">
        <v>304</v>
      </c>
      <c r="C841" s="106">
        <v>5311</v>
      </c>
      <c r="D841" s="106">
        <v>5169</v>
      </c>
      <c r="E841" s="108">
        <v>5311000000003</v>
      </c>
      <c r="F841" s="109" t="s">
        <v>305</v>
      </c>
      <c r="G841" s="96">
        <v>15</v>
      </c>
      <c r="I841" s="96">
        <v>15</v>
      </c>
      <c r="J841" s="96">
        <v>0</v>
      </c>
      <c r="K841" s="96">
        <v>5.4</v>
      </c>
      <c r="L841" s="96">
        <v>0</v>
      </c>
    </row>
    <row r="842" spans="1:12" ht="13.5" thickBot="1" x14ac:dyDescent="0.25">
      <c r="A842" s="106"/>
      <c r="B842" s="107"/>
      <c r="C842" s="106"/>
      <c r="D842" s="106"/>
      <c r="E842" s="108"/>
      <c r="F842" s="109" t="s">
        <v>503</v>
      </c>
      <c r="G842" s="96"/>
      <c r="I842" s="96"/>
      <c r="J842" s="96"/>
      <c r="K842" s="96"/>
      <c r="L842" s="96">
        <v>10</v>
      </c>
    </row>
    <row r="843" spans="1:12" x14ac:dyDescent="0.2">
      <c r="A843" s="110"/>
      <c r="B843" s="111" t="s">
        <v>17</v>
      </c>
      <c r="C843" s="112"/>
      <c r="D843" s="112">
        <v>5311</v>
      </c>
      <c r="E843" s="114"/>
      <c r="F843" s="115"/>
      <c r="G843" s="116">
        <f>SUM(G816:G842)</f>
        <v>13067</v>
      </c>
      <c r="I843" s="116">
        <f>SUM(I816:I842)</f>
        <v>14771</v>
      </c>
      <c r="J843" s="116">
        <f>SUM(J816:J842)</f>
        <v>8378.6649999999991</v>
      </c>
      <c r="K843" s="116">
        <f>SUM(K816:K842)</f>
        <v>11742.504000000001</v>
      </c>
      <c r="L843" s="116">
        <f>SUM(L816:L842)</f>
        <v>11176.249000000003</v>
      </c>
    </row>
    <row r="845" spans="1:12" x14ac:dyDescent="0.2">
      <c r="A845" s="124"/>
      <c r="B845" s="125" t="s">
        <v>306</v>
      </c>
      <c r="C845" s="126"/>
      <c r="D845" s="127"/>
      <c r="E845" s="128"/>
      <c r="F845" s="129"/>
      <c r="G845" s="130">
        <f t="shared" ref="G845:L845" si="19">SUM(G843)</f>
        <v>13067</v>
      </c>
      <c r="I845" s="130">
        <f t="shared" si="19"/>
        <v>14771</v>
      </c>
      <c r="J845" s="130">
        <f t="shared" si="19"/>
        <v>8378.6649999999991</v>
      </c>
      <c r="K845" s="130">
        <f t="shared" si="19"/>
        <v>11742.504000000001</v>
      </c>
      <c r="L845" s="130">
        <f t="shared" si="19"/>
        <v>11176.249000000003</v>
      </c>
    </row>
    <row r="847" spans="1:12" x14ac:dyDescent="0.2">
      <c r="A847" s="124"/>
      <c r="B847" s="125" t="s">
        <v>307</v>
      </c>
      <c r="C847" s="126"/>
      <c r="D847" s="127"/>
      <c r="E847" s="128"/>
      <c r="F847" s="129"/>
      <c r="G847" s="130">
        <f>SUM(G845,G813,G798,G782,G762,G714,G690,G602,G424,G399,G321,G305,G285,G270,G243,G181,G159,G100)</f>
        <v>325775.01</v>
      </c>
      <c r="I847" s="130">
        <f>SUM(I845,I813,I798,I782,I762,I714,I690,I602,I424,I399,I321,I305,I285,I270,I243,I181,I159,I100)</f>
        <v>284897.38699999999</v>
      </c>
      <c r="J847" s="130">
        <f>SUM(J845,J813,J798,J782,J762,J714,J690,J602,J424,J399,J321,J305,J285,J270,J243,J181,J159,J100)</f>
        <v>194074.633</v>
      </c>
      <c r="K847" s="130">
        <f>SUM(K845,K813,K798,K782,K762,K714,K690,K602,K424,K399,K321,K305,K285,K270,K243,K181,K159,K100)</f>
        <v>269461.83846</v>
      </c>
      <c r="L847" s="130">
        <f>SUM(L845,L813,L798,L782,L762,L714,L690,L602,L424,L399,L321,L305,L285,L270,L243,L181,L159,L100)</f>
        <v>245786.19200000001</v>
      </c>
    </row>
    <row r="848" spans="1:12" x14ac:dyDescent="0.2">
      <c r="G848" s="99">
        <v>407403</v>
      </c>
    </row>
    <row r="851" spans="1:12" x14ac:dyDescent="0.2">
      <c r="A851" s="106">
        <v>900</v>
      </c>
      <c r="B851" s="107" t="s">
        <v>144</v>
      </c>
      <c r="C851" s="106">
        <v>0</v>
      </c>
      <c r="D851" s="106">
        <v>8124</v>
      </c>
      <c r="E851" s="108">
        <v>776</v>
      </c>
      <c r="F851" s="109" t="s">
        <v>144</v>
      </c>
      <c r="G851" s="96">
        <v>2950.8</v>
      </c>
      <c r="I851" s="96"/>
      <c r="J851" s="96"/>
      <c r="K851" s="96"/>
      <c r="L851" s="96"/>
    </row>
    <row r="852" spans="1:12" x14ac:dyDescent="0.2">
      <c r="A852" s="106">
        <v>900</v>
      </c>
      <c r="B852" s="107" t="s">
        <v>145</v>
      </c>
      <c r="C852" s="106">
        <v>0</v>
      </c>
      <c r="D852" s="106">
        <v>8124</v>
      </c>
      <c r="E852" s="108">
        <v>919</v>
      </c>
      <c r="F852" s="109" t="s">
        <v>145</v>
      </c>
      <c r="G852" s="96">
        <v>1694.92</v>
      </c>
      <c r="I852" s="96"/>
      <c r="J852" s="96"/>
      <c r="K852" s="96"/>
      <c r="L852" s="96"/>
    </row>
    <row r="853" spans="1:12" x14ac:dyDescent="0.2">
      <c r="A853" s="106">
        <v>900</v>
      </c>
      <c r="B853" s="107" t="s">
        <v>146</v>
      </c>
      <c r="C853" s="106">
        <v>0</v>
      </c>
      <c r="D853" s="106">
        <v>8124</v>
      </c>
      <c r="E853" s="108">
        <v>930</v>
      </c>
      <c r="F853" s="109" t="s">
        <v>637</v>
      </c>
      <c r="G853" s="96">
        <v>3307</v>
      </c>
      <c r="I853" s="96"/>
      <c r="J853" s="96"/>
      <c r="K853" s="96"/>
      <c r="L853" s="96"/>
    </row>
    <row r="854" spans="1:12" ht="13.5" thickBot="1" x14ac:dyDescent="0.25">
      <c r="A854" s="106"/>
      <c r="B854" s="107"/>
      <c r="C854" s="106"/>
      <c r="D854" s="106"/>
      <c r="E854" s="108"/>
      <c r="F854" s="109" t="s">
        <v>503</v>
      </c>
      <c r="G854" s="96"/>
      <c r="I854" s="96"/>
      <c r="J854" s="96"/>
      <c r="K854" s="96"/>
      <c r="L854" s="96"/>
    </row>
    <row r="855" spans="1:12" x14ac:dyDescent="0.2">
      <c r="A855" s="110"/>
      <c r="B855" s="111" t="s">
        <v>17</v>
      </c>
      <c r="C855" s="112">
        <v>0</v>
      </c>
      <c r="D855" s="113"/>
      <c r="E855" s="114"/>
      <c r="F855" s="115"/>
      <c r="G855" s="116">
        <f t="shared" ref="G855:L855" si="20">SUM(G851:G854)</f>
        <v>7952.72</v>
      </c>
      <c r="I855" s="116">
        <f t="shared" si="20"/>
        <v>0</v>
      </c>
      <c r="J855" s="116">
        <f t="shared" si="20"/>
        <v>0</v>
      </c>
      <c r="K855" s="116">
        <f t="shared" si="20"/>
        <v>0</v>
      </c>
      <c r="L855" s="116">
        <f t="shared" si="20"/>
        <v>0</v>
      </c>
    </row>
    <row r="859" spans="1:12" x14ac:dyDescent="0.2">
      <c r="A859" s="124"/>
      <c r="B859" s="125" t="s">
        <v>307</v>
      </c>
      <c r="C859" s="126"/>
      <c r="D859" s="127"/>
      <c r="E859" s="128"/>
      <c r="F859" s="129"/>
      <c r="G859" s="130">
        <f t="shared" ref="G859:L859" si="21">SUM(G847,G855)</f>
        <v>333727.73</v>
      </c>
      <c r="I859" s="130">
        <f t="shared" si="21"/>
        <v>284897.38699999999</v>
      </c>
      <c r="J859" s="130">
        <f t="shared" si="21"/>
        <v>194074.633</v>
      </c>
      <c r="K859" s="130">
        <f t="shared" si="21"/>
        <v>269461.83846</v>
      </c>
      <c r="L859" s="130">
        <f t="shared" si="21"/>
        <v>245786.19200000001</v>
      </c>
    </row>
    <row r="865" spans="7:12" x14ac:dyDescent="0.2">
      <c r="G865" s="99">
        <f>G859-G864</f>
        <v>333727.73</v>
      </c>
      <c r="I865" s="99">
        <f>I859-I864</f>
        <v>284897.38699999999</v>
      </c>
      <c r="J865" s="99">
        <f>J859-J864</f>
        <v>194074.633</v>
      </c>
      <c r="K865" s="99">
        <f>K859-K864</f>
        <v>269461.83846</v>
      </c>
      <c r="L865" s="99">
        <f>L859-L864</f>
        <v>245786.19200000001</v>
      </c>
    </row>
  </sheetData>
  <autoFilter ref="A4:L845"/>
  <mergeCells count="1">
    <mergeCell ref="A2:G2"/>
  </mergeCells>
  <pageMargins left="0.78740157480314965" right="0.78740157480314965" top="0.78740157480314965" bottom="0.39370078740157483" header="0.51181102362204722" footer="0.51181102362204722"/>
  <pageSetup paperSize="9" orientation="landscape" r:id="rId1"/>
  <headerFooter alignWithMargins="0">
    <oddHeader>&amp;RStránka &amp;P z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6"/>
  <sheetViews>
    <sheetView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9.5703125" style="97" bestFit="1" customWidth="1"/>
    <col min="2" max="2" width="21.85546875" style="98" customWidth="1"/>
    <col min="3" max="3" width="6.140625" style="98" bestFit="1" customWidth="1"/>
    <col min="4" max="4" width="6.140625" style="99" bestFit="1" customWidth="1"/>
    <col min="5" max="5" width="12.140625" style="100" bestFit="1" customWidth="1"/>
    <col min="6" max="6" width="56.85546875" style="99" customWidth="1"/>
    <col min="7" max="7" width="17.28515625" style="99" bestFit="1" customWidth="1"/>
    <col min="8" max="250" width="9.140625" style="97"/>
    <col min="251" max="251" width="9.5703125" style="97" bestFit="1" customWidth="1"/>
    <col min="252" max="252" width="21.85546875" style="97" customWidth="1"/>
    <col min="253" max="254" width="6.140625" style="97" bestFit="1" customWidth="1"/>
    <col min="255" max="255" width="12.140625" style="97" bestFit="1" customWidth="1"/>
    <col min="256" max="256" width="39.7109375" style="97" customWidth="1"/>
    <col min="257" max="257" width="16.5703125" style="97" bestFit="1" customWidth="1"/>
    <col min="258" max="258" width="17.28515625" style="97" bestFit="1" customWidth="1"/>
    <col min="259" max="259" width="9.140625" style="97"/>
    <col min="260" max="261" width="17.28515625" style="97" bestFit="1" customWidth="1"/>
    <col min="262" max="262" width="17.28515625" style="97" customWidth="1"/>
    <col min="263" max="263" width="17.28515625" style="97" bestFit="1" customWidth="1"/>
    <col min="264" max="506" width="9.140625" style="97"/>
    <col min="507" max="507" width="9.5703125" style="97" bestFit="1" customWidth="1"/>
    <col min="508" max="508" width="21.85546875" style="97" customWidth="1"/>
    <col min="509" max="510" width="6.140625" style="97" bestFit="1" customWidth="1"/>
    <col min="511" max="511" width="12.140625" style="97" bestFit="1" customWidth="1"/>
    <col min="512" max="512" width="39.7109375" style="97" customWidth="1"/>
    <col min="513" max="513" width="16.5703125" style="97" bestFit="1" customWidth="1"/>
    <col min="514" max="514" width="17.28515625" style="97" bestFit="1" customWidth="1"/>
    <col min="515" max="515" width="9.140625" style="97"/>
    <col min="516" max="517" width="17.28515625" style="97" bestFit="1" customWidth="1"/>
    <col min="518" max="518" width="17.28515625" style="97" customWidth="1"/>
    <col min="519" max="519" width="17.28515625" style="97" bestFit="1" customWidth="1"/>
    <col min="520" max="762" width="9.140625" style="97"/>
    <col min="763" max="763" width="9.5703125" style="97" bestFit="1" customWidth="1"/>
    <col min="764" max="764" width="21.85546875" style="97" customWidth="1"/>
    <col min="765" max="766" width="6.140625" style="97" bestFit="1" customWidth="1"/>
    <col min="767" max="767" width="12.140625" style="97" bestFit="1" customWidth="1"/>
    <col min="768" max="768" width="39.7109375" style="97" customWidth="1"/>
    <col min="769" max="769" width="16.5703125" style="97" bestFit="1" customWidth="1"/>
    <col min="770" max="770" width="17.28515625" style="97" bestFit="1" customWidth="1"/>
    <col min="771" max="771" width="9.140625" style="97"/>
    <col min="772" max="773" width="17.28515625" style="97" bestFit="1" customWidth="1"/>
    <col min="774" max="774" width="17.28515625" style="97" customWidth="1"/>
    <col min="775" max="775" width="17.28515625" style="97" bestFit="1" customWidth="1"/>
    <col min="776" max="1018" width="9.140625" style="97"/>
    <col min="1019" max="1019" width="9.5703125" style="97" bestFit="1" customWidth="1"/>
    <col min="1020" max="1020" width="21.85546875" style="97" customWidth="1"/>
    <col min="1021" max="1022" width="6.140625" style="97" bestFit="1" customWidth="1"/>
    <col min="1023" max="1023" width="12.140625" style="97" bestFit="1" customWidth="1"/>
    <col min="1024" max="1024" width="39.7109375" style="97" customWidth="1"/>
    <col min="1025" max="1025" width="16.5703125" style="97" bestFit="1" customWidth="1"/>
    <col min="1026" max="1026" width="17.28515625" style="97" bestFit="1" customWidth="1"/>
    <col min="1027" max="1027" width="9.140625" style="97"/>
    <col min="1028" max="1029" width="17.28515625" style="97" bestFit="1" customWidth="1"/>
    <col min="1030" max="1030" width="17.28515625" style="97" customWidth="1"/>
    <col min="1031" max="1031" width="17.28515625" style="97" bestFit="1" customWidth="1"/>
    <col min="1032" max="1274" width="9.140625" style="97"/>
    <col min="1275" max="1275" width="9.5703125" style="97" bestFit="1" customWidth="1"/>
    <col min="1276" max="1276" width="21.85546875" style="97" customWidth="1"/>
    <col min="1277" max="1278" width="6.140625" style="97" bestFit="1" customWidth="1"/>
    <col min="1279" max="1279" width="12.140625" style="97" bestFit="1" customWidth="1"/>
    <col min="1280" max="1280" width="39.7109375" style="97" customWidth="1"/>
    <col min="1281" max="1281" width="16.5703125" style="97" bestFit="1" customWidth="1"/>
    <col min="1282" max="1282" width="17.28515625" style="97" bestFit="1" customWidth="1"/>
    <col min="1283" max="1283" width="9.140625" style="97"/>
    <col min="1284" max="1285" width="17.28515625" style="97" bestFit="1" customWidth="1"/>
    <col min="1286" max="1286" width="17.28515625" style="97" customWidth="1"/>
    <col min="1287" max="1287" width="17.28515625" style="97" bestFit="1" customWidth="1"/>
    <col min="1288" max="1530" width="9.140625" style="97"/>
    <col min="1531" max="1531" width="9.5703125" style="97" bestFit="1" customWidth="1"/>
    <col min="1532" max="1532" width="21.85546875" style="97" customWidth="1"/>
    <col min="1533" max="1534" width="6.140625" style="97" bestFit="1" customWidth="1"/>
    <col min="1535" max="1535" width="12.140625" style="97" bestFit="1" customWidth="1"/>
    <col min="1536" max="1536" width="39.7109375" style="97" customWidth="1"/>
    <col min="1537" max="1537" width="16.5703125" style="97" bestFit="1" customWidth="1"/>
    <col min="1538" max="1538" width="17.28515625" style="97" bestFit="1" customWidth="1"/>
    <col min="1539" max="1539" width="9.140625" style="97"/>
    <col min="1540" max="1541" width="17.28515625" style="97" bestFit="1" customWidth="1"/>
    <col min="1542" max="1542" width="17.28515625" style="97" customWidth="1"/>
    <col min="1543" max="1543" width="17.28515625" style="97" bestFit="1" customWidth="1"/>
    <col min="1544" max="1786" width="9.140625" style="97"/>
    <col min="1787" max="1787" width="9.5703125" style="97" bestFit="1" customWidth="1"/>
    <col min="1788" max="1788" width="21.85546875" style="97" customWidth="1"/>
    <col min="1789" max="1790" width="6.140625" style="97" bestFit="1" customWidth="1"/>
    <col min="1791" max="1791" width="12.140625" style="97" bestFit="1" customWidth="1"/>
    <col min="1792" max="1792" width="39.7109375" style="97" customWidth="1"/>
    <col min="1793" max="1793" width="16.5703125" style="97" bestFit="1" customWidth="1"/>
    <col min="1794" max="1794" width="17.28515625" style="97" bestFit="1" customWidth="1"/>
    <col min="1795" max="1795" width="9.140625" style="97"/>
    <col min="1796" max="1797" width="17.28515625" style="97" bestFit="1" customWidth="1"/>
    <col min="1798" max="1798" width="17.28515625" style="97" customWidth="1"/>
    <col min="1799" max="1799" width="17.28515625" style="97" bestFit="1" customWidth="1"/>
    <col min="1800" max="2042" width="9.140625" style="97"/>
    <col min="2043" max="2043" width="9.5703125" style="97" bestFit="1" customWidth="1"/>
    <col min="2044" max="2044" width="21.85546875" style="97" customWidth="1"/>
    <col min="2045" max="2046" width="6.140625" style="97" bestFit="1" customWidth="1"/>
    <col min="2047" max="2047" width="12.140625" style="97" bestFit="1" customWidth="1"/>
    <col min="2048" max="2048" width="39.7109375" style="97" customWidth="1"/>
    <col min="2049" max="2049" width="16.5703125" style="97" bestFit="1" customWidth="1"/>
    <col min="2050" max="2050" width="17.28515625" style="97" bestFit="1" customWidth="1"/>
    <col min="2051" max="2051" width="9.140625" style="97"/>
    <col min="2052" max="2053" width="17.28515625" style="97" bestFit="1" customWidth="1"/>
    <col min="2054" max="2054" width="17.28515625" style="97" customWidth="1"/>
    <col min="2055" max="2055" width="17.28515625" style="97" bestFit="1" customWidth="1"/>
    <col min="2056" max="2298" width="9.140625" style="97"/>
    <col min="2299" max="2299" width="9.5703125" style="97" bestFit="1" customWidth="1"/>
    <col min="2300" max="2300" width="21.85546875" style="97" customWidth="1"/>
    <col min="2301" max="2302" width="6.140625" style="97" bestFit="1" customWidth="1"/>
    <col min="2303" max="2303" width="12.140625" style="97" bestFit="1" customWidth="1"/>
    <col min="2304" max="2304" width="39.7109375" style="97" customWidth="1"/>
    <col min="2305" max="2305" width="16.5703125" style="97" bestFit="1" customWidth="1"/>
    <col min="2306" max="2306" width="17.28515625" style="97" bestFit="1" customWidth="1"/>
    <col min="2307" max="2307" width="9.140625" style="97"/>
    <col min="2308" max="2309" width="17.28515625" style="97" bestFit="1" customWidth="1"/>
    <col min="2310" max="2310" width="17.28515625" style="97" customWidth="1"/>
    <col min="2311" max="2311" width="17.28515625" style="97" bestFit="1" customWidth="1"/>
    <col min="2312" max="2554" width="9.140625" style="97"/>
    <col min="2555" max="2555" width="9.5703125" style="97" bestFit="1" customWidth="1"/>
    <col min="2556" max="2556" width="21.85546875" style="97" customWidth="1"/>
    <col min="2557" max="2558" width="6.140625" style="97" bestFit="1" customWidth="1"/>
    <col min="2559" max="2559" width="12.140625" style="97" bestFit="1" customWidth="1"/>
    <col min="2560" max="2560" width="39.7109375" style="97" customWidth="1"/>
    <col min="2561" max="2561" width="16.5703125" style="97" bestFit="1" customWidth="1"/>
    <col min="2562" max="2562" width="17.28515625" style="97" bestFit="1" customWidth="1"/>
    <col min="2563" max="2563" width="9.140625" style="97"/>
    <col min="2564" max="2565" width="17.28515625" style="97" bestFit="1" customWidth="1"/>
    <col min="2566" max="2566" width="17.28515625" style="97" customWidth="1"/>
    <col min="2567" max="2567" width="17.28515625" style="97" bestFit="1" customWidth="1"/>
    <col min="2568" max="2810" width="9.140625" style="97"/>
    <col min="2811" max="2811" width="9.5703125" style="97" bestFit="1" customWidth="1"/>
    <col min="2812" max="2812" width="21.85546875" style="97" customWidth="1"/>
    <col min="2813" max="2814" width="6.140625" style="97" bestFit="1" customWidth="1"/>
    <col min="2815" max="2815" width="12.140625" style="97" bestFit="1" customWidth="1"/>
    <col min="2816" max="2816" width="39.7109375" style="97" customWidth="1"/>
    <col min="2817" max="2817" width="16.5703125" style="97" bestFit="1" customWidth="1"/>
    <col min="2818" max="2818" width="17.28515625" style="97" bestFit="1" customWidth="1"/>
    <col min="2819" max="2819" width="9.140625" style="97"/>
    <col min="2820" max="2821" width="17.28515625" style="97" bestFit="1" customWidth="1"/>
    <col min="2822" max="2822" width="17.28515625" style="97" customWidth="1"/>
    <col min="2823" max="2823" width="17.28515625" style="97" bestFit="1" customWidth="1"/>
    <col min="2824" max="3066" width="9.140625" style="97"/>
    <col min="3067" max="3067" width="9.5703125" style="97" bestFit="1" customWidth="1"/>
    <col min="3068" max="3068" width="21.85546875" style="97" customWidth="1"/>
    <col min="3069" max="3070" width="6.140625" style="97" bestFit="1" customWidth="1"/>
    <col min="3071" max="3071" width="12.140625" style="97" bestFit="1" customWidth="1"/>
    <col min="3072" max="3072" width="39.7109375" style="97" customWidth="1"/>
    <col min="3073" max="3073" width="16.5703125" style="97" bestFit="1" customWidth="1"/>
    <col min="3074" max="3074" width="17.28515625" style="97" bestFit="1" customWidth="1"/>
    <col min="3075" max="3075" width="9.140625" style="97"/>
    <col min="3076" max="3077" width="17.28515625" style="97" bestFit="1" customWidth="1"/>
    <col min="3078" max="3078" width="17.28515625" style="97" customWidth="1"/>
    <col min="3079" max="3079" width="17.28515625" style="97" bestFit="1" customWidth="1"/>
    <col min="3080" max="3322" width="9.140625" style="97"/>
    <col min="3323" max="3323" width="9.5703125" style="97" bestFit="1" customWidth="1"/>
    <col min="3324" max="3324" width="21.85546875" style="97" customWidth="1"/>
    <col min="3325" max="3326" width="6.140625" style="97" bestFit="1" customWidth="1"/>
    <col min="3327" max="3327" width="12.140625" style="97" bestFit="1" customWidth="1"/>
    <col min="3328" max="3328" width="39.7109375" style="97" customWidth="1"/>
    <col min="3329" max="3329" width="16.5703125" style="97" bestFit="1" customWidth="1"/>
    <col min="3330" max="3330" width="17.28515625" style="97" bestFit="1" customWidth="1"/>
    <col min="3331" max="3331" width="9.140625" style="97"/>
    <col min="3332" max="3333" width="17.28515625" style="97" bestFit="1" customWidth="1"/>
    <col min="3334" max="3334" width="17.28515625" style="97" customWidth="1"/>
    <col min="3335" max="3335" width="17.28515625" style="97" bestFit="1" customWidth="1"/>
    <col min="3336" max="3578" width="9.140625" style="97"/>
    <col min="3579" max="3579" width="9.5703125" style="97" bestFit="1" customWidth="1"/>
    <col min="3580" max="3580" width="21.85546875" style="97" customWidth="1"/>
    <col min="3581" max="3582" width="6.140625" style="97" bestFit="1" customWidth="1"/>
    <col min="3583" max="3583" width="12.140625" style="97" bestFit="1" customWidth="1"/>
    <col min="3584" max="3584" width="39.7109375" style="97" customWidth="1"/>
    <col min="3585" max="3585" width="16.5703125" style="97" bestFit="1" customWidth="1"/>
    <col min="3586" max="3586" width="17.28515625" style="97" bestFit="1" customWidth="1"/>
    <col min="3587" max="3587" width="9.140625" style="97"/>
    <col min="3588" max="3589" width="17.28515625" style="97" bestFit="1" customWidth="1"/>
    <col min="3590" max="3590" width="17.28515625" style="97" customWidth="1"/>
    <col min="3591" max="3591" width="17.28515625" style="97" bestFit="1" customWidth="1"/>
    <col min="3592" max="3834" width="9.140625" style="97"/>
    <col min="3835" max="3835" width="9.5703125" style="97" bestFit="1" customWidth="1"/>
    <col min="3836" max="3836" width="21.85546875" style="97" customWidth="1"/>
    <col min="3837" max="3838" width="6.140625" style="97" bestFit="1" customWidth="1"/>
    <col min="3839" max="3839" width="12.140625" style="97" bestFit="1" customWidth="1"/>
    <col min="3840" max="3840" width="39.7109375" style="97" customWidth="1"/>
    <col min="3841" max="3841" width="16.5703125" style="97" bestFit="1" customWidth="1"/>
    <col min="3842" max="3842" width="17.28515625" style="97" bestFit="1" customWidth="1"/>
    <col min="3843" max="3843" width="9.140625" style="97"/>
    <col min="3844" max="3845" width="17.28515625" style="97" bestFit="1" customWidth="1"/>
    <col min="3846" max="3846" width="17.28515625" style="97" customWidth="1"/>
    <col min="3847" max="3847" width="17.28515625" style="97" bestFit="1" customWidth="1"/>
    <col min="3848" max="4090" width="9.140625" style="97"/>
    <col min="4091" max="4091" width="9.5703125" style="97" bestFit="1" customWidth="1"/>
    <col min="4092" max="4092" width="21.85546875" style="97" customWidth="1"/>
    <col min="4093" max="4094" width="6.140625" style="97" bestFit="1" customWidth="1"/>
    <col min="4095" max="4095" width="12.140625" style="97" bestFit="1" customWidth="1"/>
    <col min="4096" max="4096" width="39.7109375" style="97" customWidth="1"/>
    <col min="4097" max="4097" width="16.5703125" style="97" bestFit="1" customWidth="1"/>
    <col min="4098" max="4098" width="17.28515625" style="97" bestFit="1" customWidth="1"/>
    <col min="4099" max="4099" width="9.140625" style="97"/>
    <col min="4100" max="4101" width="17.28515625" style="97" bestFit="1" customWidth="1"/>
    <col min="4102" max="4102" width="17.28515625" style="97" customWidth="1"/>
    <col min="4103" max="4103" width="17.28515625" style="97" bestFit="1" customWidth="1"/>
    <col min="4104" max="4346" width="9.140625" style="97"/>
    <col min="4347" max="4347" width="9.5703125" style="97" bestFit="1" customWidth="1"/>
    <col min="4348" max="4348" width="21.85546875" style="97" customWidth="1"/>
    <col min="4349" max="4350" width="6.140625" style="97" bestFit="1" customWidth="1"/>
    <col min="4351" max="4351" width="12.140625" style="97" bestFit="1" customWidth="1"/>
    <col min="4352" max="4352" width="39.7109375" style="97" customWidth="1"/>
    <col min="4353" max="4353" width="16.5703125" style="97" bestFit="1" customWidth="1"/>
    <col min="4354" max="4354" width="17.28515625" style="97" bestFit="1" customWidth="1"/>
    <col min="4355" max="4355" width="9.140625" style="97"/>
    <col min="4356" max="4357" width="17.28515625" style="97" bestFit="1" customWidth="1"/>
    <col min="4358" max="4358" width="17.28515625" style="97" customWidth="1"/>
    <col min="4359" max="4359" width="17.28515625" style="97" bestFit="1" customWidth="1"/>
    <col min="4360" max="4602" width="9.140625" style="97"/>
    <col min="4603" max="4603" width="9.5703125" style="97" bestFit="1" customWidth="1"/>
    <col min="4604" max="4604" width="21.85546875" style="97" customWidth="1"/>
    <col min="4605" max="4606" width="6.140625" style="97" bestFit="1" customWidth="1"/>
    <col min="4607" max="4607" width="12.140625" style="97" bestFit="1" customWidth="1"/>
    <col min="4608" max="4608" width="39.7109375" style="97" customWidth="1"/>
    <col min="4609" max="4609" width="16.5703125" style="97" bestFit="1" customWidth="1"/>
    <col min="4610" max="4610" width="17.28515625" style="97" bestFit="1" customWidth="1"/>
    <col min="4611" max="4611" width="9.140625" style="97"/>
    <col min="4612" max="4613" width="17.28515625" style="97" bestFit="1" customWidth="1"/>
    <col min="4614" max="4614" width="17.28515625" style="97" customWidth="1"/>
    <col min="4615" max="4615" width="17.28515625" style="97" bestFit="1" customWidth="1"/>
    <col min="4616" max="4858" width="9.140625" style="97"/>
    <col min="4859" max="4859" width="9.5703125" style="97" bestFit="1" customWidth="1"/>
    <col min="4860" max="4860" width="21.85546875" style="97" customWidth="1"/>
    <col min="4861" max="4862" width="6.140625" style="97" bestFit="1" customWidth="1"/>
    <col min="4863" max="4863" width="12.140625" style="97" bestFit="1" customWidth="1"/>
    <col min="4864" max="4864" width="39.7109375" style="97" customWidth="1"/>
    <col min="4865" max="4865" width="16.5703125" style="97" bestFit="1" customWidth="1"/>
    <col min="4866" max="4866" width="17.28515625" style="97" bestFit="1" customWidth="1"/>
    <col min="4867" max="4867" width="9.140625" style="97"/>
    <col min="4868" max="4869" width="17.28515625" style="97" bestFit="1" customWidth="1"/>
    <col min="4870" max="4870" width="17.28515625" style="97" customWidth="1"/>
    <col min="4871" max="4871" width="17.28515625" style="97" bestFit="1" customWidth="1"/>
    <col min="4872" max="5114" width="9.140625" style="97"/>
    <col min="5115" max="5115" width="9.5703125" style="97" bestFit="1" customWidth="1"/>
    <col min="5116" max="5116" width="21.85546875" style="97" customWidth="1"/>
    <col min="5117" max="5118" width="6.140625" style="97" bestFit="1" customWidth="1"/>
    <col min="5119" max="5119" width="12.140625" style="97" bestFit="1" customWidth="1"/>
    <col min="5120" max="5120" width="39.7109375" style="97" customWidth="1"/>
    <col min="5121" max="5121" width="16.5703125" style="97" bestFit="1" customWidth="1"/>
    <col min="5122" max="5122" width="17.28515625" style="97" bestFit="1" customWidth="1"/>
    <col min="5123" max="5123" width="9.140625" style="97"/>
    <col min="5124" max="5125" width="17.28515625" style="97" bestFit="1" customWidth="1"/>
    <col min="5126" max="5126" width="17.28515625" style="97" customWidth="1"/>
    <col min="5127" max="5127" width="17.28515625" style="97" bestFit="1" customWidth="1"/>
    <col min="5128" max="5370" width="9.140625" style="97"/>
    <col min="5371" max="5371" width="9.5703125" style="97" bestFit="1" customWidth="1"/>
    <col min="5372" max="5372" width="21.85546875" style="97" customWidth="1"/>
    <col min="5373" max="5374" width="6.140625" style="97" bestFit="1" customWidth="1"/>
    <col min="5375" max="5375" width="12.140625" style="97" bestFit="1" customWidth="1"/>
    <col min="5376" max="5376" width="39.7109375" style="97" customWidth="1"/>
    <col min="5377" max="5377" width="16.5703125" style="97" bestFit="1" customWidth="1"/>
    <col min="5378" max="5378" width="17.28515625" style="97" bestFit="1" customWidth="1"/>
    <col min="5379" max="5379" width="9.140625" style="97"/>
    <col min="5380" max="5381" width="17.28515625" style="97" bestFit="1" customWidth="1"/>
    <col min="5382" max="5382" width="17.28515625" style="97" customWidth="1"/>
    <col min="5383" max="5383" width="17.28515625" style="97" bestFit="1" customWidth="1"/>
    <col min="5384" max="5626" width="9.140625" style="97"/>
    <col min="5627" max="5627" width="9.5703125" style="97" bestFit="1" customWidth="1"/>
    <col min="5628" max="5628" width="21.85546875" style="97" customWidth="1"/>
    <col min="5629" max="5630" width="6.140625" style="97" bestFit="1" customWidth="1"/>
    <col min="5631" max="5631" width="12.140625" style="97" bestFit="1" customWidth="1"/>
    <col min="5632" max="5632" width="39.7109375" style="97" customWidth="1"/>
    <col min="5633" max="5633" width="16.5703125" style="97" bestFit="1" customWidth="1"/>
    <col min="5634" max="5634" width="17.28515625" style="97" bestFit="1" customWidth="1"/>
    <col min="5635" max="5635" width="9.140625" style="97"/>
    <col min="5636" max="5637" width="17.28515625" style="97" bestFit="1" customWidth="1"/>
    <col min="5638" max="5638" width="17.28515625" style="97" customWidth="1"/>
    <col min="5639" max="5639" width="17.28515625" style="97" bestFit="1" customWidth="1"/>
    <col min="5640" max="5882" width="9.140625" style="97"/>
    <col min="5883" max="5883" width="9.5703125" style="97" bestFit="1" customWidth="1"/>
    <col min="5884" max="5884" width="21.85546875" style="97" customWidth="1"/>
    <col min="5885" max="5886" width="6.140625" style="97" bestFit="1" customWidth="1"/>
    <col min="5887" max="5887" width="12.140625" style="97" bestFit="1" customWidth="1"/>
    <col min="5888" max="5888" width="39.7109375" style="97" customWidth="1"/>
    <col min="5889" max="5889" width="16.5703125" style="97" bestFit="1" customWidth="1"/>
    <col min="5890" max="5890" width="17.28515625" style="97" bestFit="1" customWidth="1"/>
    <col min="5891" max="5891" width="9.140625" style="97"/>
    <col min="5892" max="5893" width="17.28515625" style="97" bestFit="1" customWidth="1"/>
    <col min="5894" max="5894" width="17.28515625" style="97" customWidth="1"/>
    <col min="5895" max="5895" width="17.28515625" style="97" bestFit="1" customWidth="1"/>
    <col min="5896" max="6138" width="9.140625" style="97"/>
    <col min="6139" max="6139" width="9.5703125" style="97" bestFit="1" customWidth="1"/>
    <col min="6140" max="6140" width="21.85546875" style="97" customWidth="1"/>
    <col min="6141" max="6142" width="6.140625" style="97" bestFit="1" customWidth="1"/>
    <col min="6143" max="6143" width="12.140625" style="97" bestFit="1" customWidth="1"/>
    <col min="6144" max="6144" width="39.7109375" style="97" customWidth="1"/>
    <col min="6145" max="6145" width="16.5703125" style="97" bestFit="1" customWidth="1"/>
    <col min="6146" max="6146" width="17.28515625" style="97" bestFit="1" customWidth="1"/>
    <col min="6147" max="6147" width="9.140625" style="97"/>
    <col min="6148" max="6149" width="17.28515625" style="97" bestFit="1" customWidth="1"/>
    <col min="6150" max="6150" width="17.28515625" style="97" customWidth="1"/>
    <col min="6151" max="6151" width="17.28515625" style="97" bestFit="1" customWidth="1"/>
    <col min="6152" max="6394" width="9.140625" style="97"/>
    <col min="6395" max="6395" width="9.5703125" style="97" bestFit="1" customWidth="1"/>
    <col min="6396" max="6396" width="21.85546875" style="97" customWidth="1"/>
    <col min="6397" max="6398" width="6.140625" style="97" bestFit="1" customWidth="1"/>
    <col min="6399" max="6399" width="12.140625" style="97" bestFit="1" customWidth="1"/>
    <col min="6400" max="6400" width="39.7109375" style="97" customWidth="1"/>
    <col min="6401" max="6401" width="16.5703125" style="97" bestFit="1" customWidth="1"/>
    <col min="6402" max="6402" width="17.28515625" style="97" bestFit="1" customWidth="1"/>
    <col min="6403" max="6403" width="9.140625" style="97"/>
    <col min="6404" max="6405" width="17.28515625" style="97" bestFit="1" customWidth="1"/>
    <col min="6406" max="6406" width="17.28515625" style="97" customWidth="1"/>
    <col min="6407" max="6407" width="17.28515625" style="97" bestFit="1" customWidth="1"/>
    <col min="6408" max="6650" width="9.140625" style="97"/>
    <col min="6651" max="6651" width="9.5703125" style="97" bestFit="1" customWidth="1"/>
    <col min="6652" max="6652" width="21.85546875" style="97" customWidth="1"/>
    <col min="6653" max="6654" width="6.140625" style="97" bestFit="1" customWidth="1"/>
    <col min="6655" max="6655" width="12.140625" style="97" bestFit="1" customWidth="1"/>
    <col min="6656" max="6656" width="39.7109375" style="97" customWidth="1"/>
    <col min="6657" max="6657" width="16.5703125" style="97" bestFit="1" customWidth="1"/>
    <col min="6658" max="6658" width="17.28515625" style="97" bestFit="1" customWidth="1"/>
    <col min="6659" max="6659" width="9.140625" style="97"/>
    <col min="6660" max="6661" width="17.28515625" style="97" bestFit="1" customWidth="1"/>
    <col min="6662" max="6662" width="17.28515625" style="97" customWidth="1"/>
    <col min="6663" max="6663" width="17.28515625" style="97" bestFit="1" customWidth="1"/>
    <col min="6664" max="6906" width="9.140625" style="97"/>
    <col min="6907" max="6907" width="9.5703125" style="97" bestFit="1" customWidth="1"/>
    <col min="6908" max="6908" width="21.85546875" style="97" customWidth="1"/>
    <col min="6909" max="6910" width="6.140625" style="97" bestFit="1" customWidth="1"/>
    <col min="6911" max="6911" width="12.140625" style="97" bestFit="1" customWidth="1"/>
    <col min="6912" max="6912" width="39.7109375" style="97" customWidth="1"/>
    <col min="6913" max="6913" width="16.5703125" style="97" bestFit="1" customWidth="1"/>
    <col min="6914" max="6914" width="17.28515625" style="97" bestFit="1" customWidth="1"/>
    <col min="6915" max="6915" width="9.140625" style="97"/>
    <col min="6916" max="6917" width="17.28515625" style="97" bestFit="1" customWidth="1"/>
    <col min="6918" max="6918" width="17.28515625" style="97" customWidth="1"/>
    <col min="6919" max="6919" width="17.28515625" style="97" bestFit="1" customWidth="1"/>
    <col min="6920" max="7162" width="9.140625" style="97"/>
    <col min="7163" max="7163" width="9.5703125" style="97" bestFit="1" customWidth="1"/>
    <col min="7164" max="7164" width="21.85546875" style="97" customWidth="1"/>
    <col min="7165" max="7166" width="6.140625" style="97" bestFit="1" customWidth="1"/>
    <col min="7167" max="7167" width="12.140625" style="97" bestFit="1" customWidth="1"/>
    <col min="7168" max="7168" width="39.7109375" style="97" customWidth="1"/>
    <col min="7169" max="7169" width="16.5703125" style="97" bestFit="1" customWidth="1"/>
    <col min="7170" max="7170" width="17.28515625" style="97" bestFit="1" customWidth="1"/>
    <col min="7171" max="7171" width="9.140625" style="97"/>
    <col min="7172" max="7173" width="17.28515625" style="97" bestFit="1" customWidth="1"/>
    <col min="7174" max="7174" width="17.28515625" style="97" customWidth="1"/>
    <col min="7175" max="7175" width="17.28515625" style="97" bestFit="1" customWidth="1"/>
    <col min="7176" max="7418" width="9.140625" style="97"/>
    <col min="7419" max="7419" width="9.5703125" style="97" bestFit="1" customWidth="1"/>
    <col min="7420" max="7420" width="21.85546875" style="97" customWidth="1"/>
    <col min="7421" max="7422" width="6.140625" style="97" bestFit="1" customWidth="1"/>
    <col min="7423" max="7423" width="12.140625" style="97" bestFit="1" customWidth="1"/>
    <col min="7424" max="7424" width="39.7109375" style="97" customWidth="1"/>
    <col min="7425" max="7425" width="16.5703125" style="97" bestFit="1" customWidth="1"/>
    <col min="7426" max="7426" width="17.28515625" style="97" bestFit="1" customWidth="1"/>
    <col min="7427" max="7427" width="9.140625" style="97"/>
    <col min="7428" max="7429" width="17.28515625" style="97" bestFit="1" customWidth="1"/>
    <col min="7430" max="7430" width="17.28515625" style="97" customWidth="1"/>
    <col min="7431" max="7431" width="17.28515625" style="97" bestFit="1" customWidth="1"/>
    <col min="7432" max="7674" width="9.140625" style="97"/>
    <col min="7675" max="7675" width="9.5703125" style="97" bestFit="1" customWidth="1"/>
    <col min="7676" max="7676" width="21.85546875" style="97" customWidth="1"/>
    <col min="7677" max="7678" width="6.140625" style="97" bestFit="1" customWidth="1"/>
    <col min="7679" max="7679" width="12.140625" style="97" bestFit="1" customWidth="1"/>
    <col min="7680" max="7680" width="39.7109375" style="97" customWidth="1"/>
    <col min="7681" max="7681" width="16.5703125" style="97" bestFit="1" customWidth="1"/>
    <col min="7682" max="7682" width="17.28515625" style="97" bestFit="1" customWidth="1"/>
    <col min="7683" max="7683" width="9.140625" style="97"/>
    <col min="7684" max="7685" width="17.28515625" style="97" bestFit="1" customWidth="1"/>
    <col min="7686" max="7686" width="17.28515625" style="97" customWidth="1"/>
    <col min="7687" max="7687" width="17.28515625" style="97" bestFit="1" customWidth="1"/>
    <col min="7688" max="7930" width="9.140625" style="97"/>
    <col min="7931" max="7931" width="9.5703125" style="97" bestFit="1" customWidth="1"/>
    <col min="7932" max="7932" width="21.85546875" style="97" customWidth="1"/>
    <col min="7933" max="7934" width="6.140625" style="97" bestFit="1" customWidth="1"/>
    <col min="7935" max="7935" width="12.140625" style="97" bestFit="1" customWidth="1"/>
    <col min="7936" max="7936" width="39.7109375" style="97" customWidth="1"/>
    <col min="7937" max="7937" width="16.5703125" style="97" bestFit="1" customWidth="1"/>
    <col min="7938" max="7938" width="17.28515625" style="97" bestFit="1" customWidth="1"/>
    <col min="7939" max="7939" width="9.140625" style="97"/>
    <col min="7940" max="7941" width="17.28515625" style="97" bestFit="1" customWidth="1"/>
    <col min="7942" max="7942" width="17.28515625" style="97" customWidth="1"/>
    <col min="7943" max="7943" width="17.28515625" style="97" bestFit="1" customWidth="1"/>
    <col min="7944" max="8186" width="9.140625" style="97"/>
    <col min="8187" max="8187" width="9.5703125" style="97" bestFit="1" customWidth="1"/>
    <col min="8188" max="8188" width="21.85546875" style="97" customWidth="1"/>
    <col min="8189" max="8190" width="6.140625" style="97" bestFit="1" customWidth="1"/>
    <col min="8191" max="8191" width="12.140625" style="97" bestFit="1" customWidth="1"/>
    <col min="8192" max="8192" width="39.7109375" style="97" customWidth="1"/>
    <col min="8193" max="8193" width="16.5703125" style="97" bestFit="1" customWidth="1"/>
    <col min="8194" max="8194" width="17.28515625" style="97" bestFit="1" customWidth="1"/>
    <col min="8195" max="8195" width="9.140625" style="97"/>
    <col min="8196" max="8197" width="17.28515625" style="97" bestFit="1" customWidth="1"/>
    <col min="8198" max="8198" width="17.28515625" style="97" customWidth="1"/>
    <col min="8199" max="8199" width="17.28515625" style="97" bestFit="1" customWidth="1"/>
    <col min="8200" max="8442" width="9.140625" style="97"/>
    <col min="8443" max="8443" width="9.5703125" style="97" bestFit="1" customWidth="1"/>
    <col min="8444" max="8444" width="21.85546875" style="97" customWidth="1"/>
    <col min="8445" max="8446" width="6.140625" style="97" bestFit="1" customWidth="1"/>
    <col min="8447" max="8447" width="12.140625" style="97" bestFit="1" customWidth="1"/>
    <col min="8448" max="8448" width="39.7109375" style="97" customWidth="1"/>
    <col min="8449" max="8449" width="16.5703125" style="97" bestFit="1" customWidth="1"/>
    <col min="8450" max="8450" width="17.28515625" style="97" bestFit="1" customWidth="1"/>
    <col min="8451" max="8451" width="9.140625" style="97"/>
    <col min="8452" max="8453" width="17.28515625" style="97" bestFit="1" customWidth="1"/>
    <col min="8454" max="8454" width="17.28515625" style="97" customWidth="1"/>
    <col min="8455" max="8455" width="17.28515625" style="97" bestFit="1" customWidth="1"/>
    <col min="8456" max="8698" width="9.140625" style="97"/>
    <col min="8699" max="8699" width="9.5703125" style="97" bestFit="1" customWidth="1"/>
    <col min="8700" max="8700" width="21.85546875" style="97" customWidth="1"/>
    <col min="8701" max="8702" width="6.140625" style="97" bestFit="1" customWidth="1"/>
    <col min="8703" max="8703" width="12.140625" style="97" bestFit="1" customWidth="1"/>
    <col min="8704" max="8704" width="39.7109375" style="97" customWidth="1"/>
    <col min="8705" max="8705" width="16.5703125" style="97" bestFit="1" customWidth="1"/>
    <col min="8706" max="8706" width="17.28515625" style="97" bestFit="1" customWidth="1"/>
    <col min="8707" max="8707" width="9.140625" style="97"/>
    <col min="8708" max="8709" width="17.28515625" style="97" bestFit="1" customWidth="1"/>
    <col min="8710" max="8710" width="17.28515625" style="97" customWidth="1"/>
    <col min="8711" max="8711" width="17.28515625" style="97" bestFit="1" customWidth="1"/>
    <col min="8712" max="8954" width="9.140625" style="97"/>
    <col min="8955" max="8955" width="9.5703125" style="97" bestFit="1" customWidth="1"/>
    <col min="8956" max="8956" width="21.85546875" style="97" customWidth="1"/>
    <col min="8957" max="8958" width="6.140625" style="97" bestFit="1" customWidth="1"/>
    <col min="8959" max="8959" width="12.140625" style="97" bestFit="1" customWidth="1"/>
    <col min="8960" max="8960" width="39.7109375" style="97" customWidth="1"/>
    <col min="8961" max="8961" width="16.5703125" style="97" bestFit="1" customWidth="1"/>
    <col min="8962" max="8962" width="17.28515625" style="97" bestFit="1" customWidth="1"/>
    <col min="8963" max="8963" width="9.140625" style="97"/>
    <col min="8964" max="8965" width="17.28515625" style="97" bestFit="1" customWidth="1"/>
    <col min="8966" max="8966" width="17.28515625" style="97" customWidth="1"/>
    <col min="8967" max="8967" width="17.28515625" style="97" bestFit="1" customWidth="1"/>
    <col min="8968" max="9210" width="9.140625" style="97"/>
    <col min="9211" max="9211" width="9.5703125" style="97" bestFit="1" customWidth="1"/>
    <col min="9212" max="9212" width="21.85546875" style="97" customWidth="1"/>
    <col min="9213" max="9214" width="6.140625" style="97" bestFit="1" customWidth="1"/>
    <col min="9215" max="9215" width="12.140625" style="97" bestFit="1" customWidth="1"/>
    <col min="9216" max="9216" width="39.7109375" style="97" customWidth="1"/>
    <col min="9217" max="9217" width="16.5703125" style="97" bestFit="1" customWidth="1"/>
    <col min="9218" max="9218" width="17.28515625" style="97" bestFit="1" customWidth="1"/>
    <col min="9219" max="9219" width="9.140625" style="97"/>
    <col min="9220" max="9221" width="17.28515625" style="97" bestFit="1" customWidth="1"/>
    <col min="9222" max="9222" width="17.28515625" style="97" customWidth="1"/>
    <col min="9223" max="9223" width="17.28515625" style="97" bestFit="1" customWidth="1"/>
    <col min="9224" max="9466" width="9.140625" style="97"/>
    <col min="9467" max="9467" width="9.5703125" style="97" bestFit="1" customWidth="1"/>
    <col min="9468" max="9468" width="21.85546875" style="97" customWidth="1"/>
    <col min="9469" max="9470" width="6.140625" style="97" bestFit="1" customWidth="1"/>
    <col min="9471" max="9471" width="12.140625" style="97" bestFit="1" customWidth="1"/>
    <col min="9472" max="9472" width="39.7109375" style="97" customWidth="1"/>
    <col min="9473" max="9473" width="16.5703125" style="97" bestFit="1" customWidth="1"/>
    <col min="9474" max="9474" width="17.28515625" style="97" bestFit="1" customWidth="1"/>
    <col min="9475" max="9475" width="9.140625" style="97"/>
    <col min="9476" max="9477" width="17.28515625" style="97" bestFit="1" customWidth="1"/>
    <col min="9478" max="9478" width="17.28515625" style="97" customWidth="1"/>
    <col min="9479" max="9479" width="17.28515625" style="97" bestFit="1" customWidth="1"/>
    <col min="9480" max="9722" width="9.140625" style="97"/>
    <col min="9723" max="9723" width="9.5703125" style="97" bestFit="1" customWidth="1"/>
    <col min="9724" max="9724" width="21.85546875" style="97" customWidth="1"/>
    <col min="9725" max="9726" width="6.140625" style="97" bestFit="1" customWidth="1"/>
    <col min="9727" max="9727" width="12.140625" style="97" bestFit="1" customWidth="1"/>
    <col min="9728" max="9728" width="39.7109375" style="97" customWidth="1"/>
    <col min="9729" max="9729" width="16.5703125" style="97" bestFit="1" customWidth="1"/>
    <col min="9730" max="9730" width="17.28515625" style="97" bestFit="1" customWidth="1"/>
    <col min="9731" max="9731" width="9.140625" style="97"/>
    <col min="9732" max="9733" width="17.28515625" style="97" bestFit="1" customWidth="1"/>
    <col min="9734" max="9734" width="17.28515625" style="97" customWidth="1"/>
    <col min="9735" max="9735" width="17.28515625" style="97" bestFit="1" customWidth="1"/>
    <col min="9736" max="9978" width="9.140625" style="97"/>
    <col min="9979" max="9979" width="9.5703125" style="97" bestFit="1" customWidth="1"/>
    <col min="9980" max="9980" width="21.85546875" style="97" customWidth="1"/>
    <col min="9981" max="9982" width="6.140625" style="97" bestFit="1" customWidth="1"/>
    <col min="9983" max="9983" width="12.140625" style="97" bestFit="1" customWidth="1"/>
    <col min="9984" max="9984" width="39.7109375" style="97" customWidth="1"/>
    <col min="9985" max="9985" width="16.5703125" style="97" bestFit="1" customWidth="1"/>
    <col min="9986" max="9986" width="17.28515625" style="97" bestFit="1" customWidth="1"/>
    <col min="9987" max="9987" width="9.140625" style="97"/>
    <col min="9988" max="9989" width="17.28515625" style="97" bestFit="1" customWidth="1"/>
    <col min="9990" max="9990" width="17.28515625" style="97" customWidth="1"/>
    <col min="9991" max="9991" width="17.28515625" style="97" bestFit="1" customWidth="1"/>
    <col min="9992" max="10234" width="9.140625" style="97"/>
    <col min="10235" max="10235" width="9.5703125" style="97" bestFit="1" customWidth="1"/>
    <col min="10236" max="10236" width="21.85546875" style="97" customWidth="1"/>
    <col min="10237" max="10238" width="6.140625" style="97" bestFit="1" customWidth="1"/>
    <col min="10239" max="10239" width="12.140625" style="97" bestFit="1" customWidth="1"/>
    <col min="10240" max="10240" width="39.7109375" style="97" customWidth="1"/>
    <col min="10241" max="10241" width="16.5703125" style="97" bestFit="1" customWidth="1"/>
    <col min="10242" max="10242" width="17.28515625" style="97" bestFit="1" customWidth="1"/>
    <col min="10243" max="10243" width="9.140625" style="97"/>
    <col min="10244" max="10245" width="17.28515625" style="97" bestFit="1" customWidth="1"/>
    <col min="10246" max="10246" width="17.28515625" style="97" customWidth="1"/>
    <col min="10247" max="10247" width="17.28515625" style="97" bestFit="1" customWidth="1"/>
    <col min="10248" max="10490" width="9.140625" style="97"/>
    <col min="10491" max="10491" width="9.5703125" style="97" bestFit="1" customWidth="1"/>
    <col min="10492" max="10492" width="21.85546875" style="97" customWidth="1"/>
    <col min="10493" max="10494" width="6.140625" style="97" bestFit="1" customWidth="1"/>
    <col min="10495" max="10495" width="12.140625" style="97" bestFit="1" customWidth="1"/>
    <col min="10496" max="10496" width="39.7109375" style="97" customWidth="1"/>
    <col min="10497" max="10497" width="16.5703125" style="97" bestFit="1" customWidth="1"/>
    <col min="10498" max="10498" width="17.28515625" style="97" bestFit="1" customWidth="1"/>
    <col min="10499" max="10499" width="9.140625" style="97"/>
    <col min="10500" max="10501" width="17.28515625" style="97" bestFit="1" customWidth="1"/>
    <col min="10502" max="10502" width="17.28515625" style="97" customWidth="1"/>
    <col min="10503" max="10503" width="17.28515625" style="97" bestFit="1" customWidth="1"/>
    <col min="10504" max="10746" width="9.140625" style="97"/>
    <col min="10747" max="10747" width="9.5703125" style="97" bestFit="1" customWidth="1"/>
    <col min="10748" max="10748" width="21.85546875" style="97" customWidth="1"/>
    <col min="10749" max="10750" width="6.140625" style="97" bestFit="1" customWidth="1"/>
    <col min="10751" max="10751" width="12.140625" style="97" bestFit="1" customWidth="1"/>
    <col min="10752" max="10752" width="39.7109375" style="97" customWidth="1"/>
    <col min="10753" max="10753" width="16.5703125" style="97" bestFit="1" customWidth="1"/>
    <col min="10754" max="10754" width="17.28515625" style="97" bestFit="1" customWidth="1"/>
    <col min="10755" max="10755" width="9.140625" style="97"/>
    <col min="10756" max="10757" width="17.28515625" style="97" bestFit="1" customWidth="1"/>
    <col min="10758" max="10758" width="17.28515625" style="97" customWidth="1"/>
    <col min="10759" max="10759" width="17.28515625" style="97" bestFit="1" customWidth="1"/>
    <col min="10760" max="11002" width="9.140625" style="97"/>
    <col min="11003" max="11003" width="9.5703125" style="97" bestFit="1" customWidth="1"/>
    <col min="11004" max="11004" width="21.85546875" style="97" customWidth="1"/>
    <col min="11005" max="11006" width="6.140625" style="97" bestFit="1" customWidth="1"/>
    <col min="11007" max="11007" width="12.140625" style="97" bestFit="1" customWidth="1"/>
    <col min="11008" max="11008" width="39.7109375" style="97" customWidth="1"/>
    <col min="11009" max="11009" width="16.5703125" style="97" bestFit="1" customWidth="1"/>
    <col min="11010" max="11010" width="17.28515625" style="97" bestFit="1" customWidth="1"/>
    <col min="11011" max="11011" width="9.140625" style="97"/>
    <col min="11012" max="11013" width="17.28515625" style="97" bestFit="1" customWidth="1"/>
    <col min="11014" max="11014" width="17.28515625" style="97" customWidth="1"/>
    <col min="11015" max="11015" width="17.28515625" style="97" bestFit="1" customWidth="1"/>
    <col min="11016" max="11258" width="9.140625" style="97"/>
    <col min="11259" max="11259" width="9.5703125" style="97" bestFit="1" customWidth="1"/>
    <col min="11260" max="11260" width="21.85546875" style="97" customWidth="1"/>
    <col min="11261" max="11262" width="6.140625" style="97" bestFit="1" customWidth="1"/>
    <col min="11263" max="11263" width="12.140625" style="97" bestFit="1" customWidth="1"/>
    <col min="11264" max="11264" width="39.7109375" style="97" customWidth="1"/>
    <col min="11265" max="11265" width="16.5703125" style="97" bestFit="1" customWidth="1"/>
    <col min="11266" max="11266" width="17.28515625" style="97" bestFit="1" customWidth="1"/>
    <col min="11267" max="11267" width="9.140625" style="97"/>
    <col min="11268" max="11269" width="17.28515625" style="97" bestFit="1" customWidth="1"/>
    <col min="11270" max="11270" width="17.28515625" style="97" customWidth="1"/>
    <col min="11271" max="11271" width="17.28515625" style="97" bestFit="1" customWidth="1"/>
    <col min="11272" max="11514" width="9.140625" style="97"/>
    <col min="11515" max="11515" width="9.5703125" style="97" bestFit="1" customWidth="1"/>
    <col min="11516" max="11516" width="21.85546875" style="97" customWidth="1"/>
    <col min="11517" max="11518" width="6.140625" style="97" bestFit="1" customWidth="1"/>
    <col min="11519" max="11519" width="12.140625" style="97" bestFit="1" customWidth="1"/>
    <col min="11520" max="11520" width="39.7109375" style="97" customWidth="1"/>
    <col min="11521" max="11521" width="16.5703125" style="97" bestFit="1" customWidth="1"/>
    <col min="11522" max="11522" width="17.28515625" style="97" bestFit="1" customWidth="1"/>
    <col min="11523" max="11523" width="9.140625" style="97"/>
    <col min="11524" max="11525" width="17.28515625" style="97" bestFit="1" customWidth="1"/>
    <col min="11526" max="11526" width="17.28515625" style="97" customWidth="1"/>
    <col min="11527" max="11527" width="17.28515625" style="97" bestFit="1" customWidth="1"/>
    <col min="11528" max="11770" width="9.140625" style="97"/>
    <col min="11771" max="11771" width="9.5703125" style="97" bestFit="1" customWidth="1"/>
    <col min="11772" max="11772" width="21.85546875" style="97" customWidth="1"/>
    <col min="11773" max="11774" width="6.140625" style="97" bestFit="1" customWidth="1"/>
    <col min="11775" max="11775" width="12.140625" style="97" bestFit="1" customWidth="1"/>
    <col min="11776" max="11776" width="39.7109375" style="97" customWidth="1"/>
    <col min="11777" max="11777" width="16.5703125" style="97" bestFit="1" customWidth="1"/>
    <col min="11778" max="11778" width="17.28515625" style="97" bestFit="1" customWidth="1"/>
    <col min="11779" max="11779" width="9.140625" style="97"/>
    <col min="11780" max="11781" width="17.28515625" style="97" bestFit="1" customWidth="1"/>
    <col min="11782" max="11782" width="17.28515625" style="97" customWidth="1"/>
    <col min="11783" max="11783" width="17.28515625" style="97" bestFit="1" customWidth="1"/>
    <col min="11784" max="12026" width="9.140625" style="97"/>
    <col min="12027" max="12027" width="9.5703125" style="97" bestFit="1" customWidth="1"/>
    <col min="12028" max="12028" width="21.85546875" style="97" customWidth="1"/>
    <col min="12029" max="12030" width="6.140625" style="97" bestFit="1" customWidth="1"/>
    <col min="12031" max="12031" width="12.140625" style="97" bestFit="1" customWidth="1"/>
    <col min="12032" max="12032" width="39.7109375" style="97" customWidth="1"/>
    <col min="12033" max="12033" width="16.5703125" style="97" bestFit="1" customWidth="1"/>
    <col min="12034" max="12034" width="17.28515625" style="97" bestFit="1" customWidth="1"/>
    <col min="12035" max="12035" width="9.140625" style="97"/>
    <col min="12036" max="12037" width="17.28515625" style="97" bestFit="1" customWidth="1"/>
    <col min="12038" max="12038" width="17.28515625" style="97" customWidth="1"/>
    <col min="12039" max="12039" width="17.28515625" style="97" bestFit="1" customWidth="1"/>
    <col min="12040" max="12282" width="9.140625" style="97"/>
    <col min="12283" max="12283" width="9.5703125" style="97" bestFit="1" customWidth="1"/>
    <col min="12284" max="12284" width="21.85546875" style="97" customWidth="1"/>
    <col min="12285" max="12286" width="6.140625" style="97" bestFit="1" customWidth="1"/>
    <col min="12287" max="12287" width="12.140625" style="97" bestFit="1" customWidth="1"/>
    <col min="12288" max="12288" width="39.7109375" style="97" customWidth="1"/>
    <col min="12289" max="12289" width="16.5703125" style="97" bestFit="1" customWidth="1"/>
    <col min="12290" max="12290" width="17.28515625" style="97" bestFit="1" customWidth="1"/>
    <col min="12291" max="12291" width="9.140625" style="97"/>
    <col min="12292" max="12293" width="17.28515625" style="97" bestFit="1" customWidth="1"/>
    <col min="12294" max="12294" width="17.28515625" style="97" customWidth="1"/>
    <col min="12295" max="12295" width="17.28515625" style="97" bestFit="1" customWidth="1"/>
    <col min="12296" max="12538" width="9.140625" style="97"/>
    <col min="12539" max="12539" width="9.5703125" style="97" bestFit="1" customWidth="1"/>
    <col min="12540" max="12540" width="21.85546875" style="97" customWidth="1"/>
    <col min="12541" max="12542" width="6.140625" style="97" bestFit="1" customWidth="1"/>
    <col min="12543" max="12543" width="12.140625" style="97" bestFit="1" customWidth="1"/>
    <col min="12544" max="12544" width="39.7109375" style="97" customWidth="1"/>
    <col min="12545" max="12545" width="16.5703125" style="97" bestFit="1" customWidth="1"/>
    <col min="12546" max="12546" width="17.28515625" style="97" bestFit="1" customWidth="1"/>
    <col min="12547" max="12547" width="9.140625" style="97"/>
    <col min="12548" max="12549" width="17.28515625" style="97" bestFit="1" customWidth="1"/>
    <col min="12550" max="12550" width="17.28515625" style="97" customWidth="1"/>
    <col min="12551" max="12551" width="17.28515625" style="97" bestFit="1" customWidth="1"/>
    <col min="12552" max="12794" width="9.140625" style="97"/>
    <col min="12795" max="12795" width="9.5703125" style="97" bestFit="1" customWidth="1"/>
    <col min="12796" max="12796" width="21.85546875" style="97" customWidth="1"/>
    <col min="12797" max="12798" width="6.140625" style="97" bestFit="1" customWidth="1"/>
    <col min="12799" max="12799" width="12.140625" style="97" bestFit="1" customWidth="1"/>
    <col min="12800" max="12800" width="39.7109375" style="97" customWidth="1"/>
    <col min="12801" max="12801" width="16.5703125" style="97" bestFit="1" customWidth="1"/>
    <col min="12802" max="12802" width="17.28515625" style="97" bestFit="1" customWidth="1"/>
    <col min="12803" max="12803" width="9.140625" style="97"/>
    <col min="12804" max="12805" width="17.28515625" style="97" bestFit="1" customWidth="1"/>
    <col min="12806" max="12806" width="17.28515625" style="97" customWidth="1"/>
    <col min="12807" max="12807" width="17.28515625" style="97" bestFit="1" customWidth="1"/>
    <col min="12808" max="13050" width="9.140625" style="97"/>
    <col min="13051" max="13051" width="9.5703125" style="97" bestFit="1" customWidth="1"/>
    <col min="13052" max="13052" width="21.85546875" style="97" customWidth="1"/>
    <col min="13053" max="13054" width="6.140625" style="97" bestFit="1" customWidth="1"/>
    <col min="13055" max="13055" width="12.140625" style="97" bestFit="1" customWidth="1"/>
    <col min="13056" max="13056" width="39.7109375" style="97" customWidth="1"/>
    <col min="13057" max="13057" width="16.5703125" style="97" bestFit="1" customWidth="1"/>
    <col min="13058" max="13058" width="17.28515625" style="97" bestFit="1" customWidth="1"/>
    <col min="13059" max="13059" width="9.140625" style="97"/>
    <col min="13060" max="13061" width="17.28515625" style="97" bestFit="1" customWidth="1"/>
    <col min="13062" max="13062" width="17.28515625" style="97" customWidth="1"/>
    <col min="13063" max="13063" width="17.28515625" style="97" bestFit="1" customWidth="1"/>
    <col min="13064" max="13306" width="9.140625" style="97"/>
    <col min="13307" max="13307" width="9.5703125" style="97" bestFit="1" customWidth="1"/>
    <col min="13308" max="13308" width="21.85546875" style="97" customWidth="1"/>
    <col min="13309" max="13310" width="6.140625" style="97" bestFit="1" customWidth="1"/>
    <col min="13311" max="13311" width="12.140625" style="97" bestFit="1" customWidth="1"/>
    <col min="13312" max="13312" width="39.7109375" style="97" customWidth="1"/>
    <col min="13313" max="13313" width="16.5703125" style="97" bestFit="1" customWidth="1"/>
    <col min="13314" max="13314" width="17.28515625" style="97" bestFit="1" customWidth="1"/>
    <col min="13315" max="13315" width="9.140625" style="97"/>
    <col min="13316" max="13317" width="17.28515625" style="97" bestFit="1" customWidth="1"/>
    <col min="13318" max="13318" width="17.28515625" style="97" customWidth="1"/>
    <col min="13319" max="13319" width="17.28515625" style="97" bestFit="1" customWidth="1"/>
    <col min="13320" max="13562" width="9.140625" style="97"/>
    <col min="13563" max="13563" width="9.5703125" style="97" bestFit="1" customWidth="1"/>
    <col min="13564" max="13564" width="21.85546875" style="97" customWidth="1"/>
    <col min="13565" max="13566" width="6.140625" style="97" bestFit="1" customWidth="1"/>
    <col min="13567" max="13567" width="12.140625" style="97" bestFit="1" customWidth="1"/>
    <col min="13568" max="13568" width="39.7109375" style="97" customWidth="1"/>
    <col min="13569" max="13569" width="16.5703125" style="97" bestFit="1" customWidth="1"/>
    <col min="13570" max="13570" width="17.28515625" style="97" bestFit="1" customWidth="1"/>
    <col min="13571" max="13571" width="9.140625" style="97"/>
    <col min="13572" max="13573" width="17.28515625" style="97" bestFit="1" customWidth="1"/>
    <col min="13574" max="13574" width="17.28515625" style="97" customWidth="1"/>
    <col min="13575" max="13575" width="17.28515625" style="97" bestFit="1" customWidth="1"/>
    <col min="13576" max="13818" width="9.140625" style="97"/>
    <col min="13819" max="13819" width="9.5703125" style="97" bestFit="1" customWidth="1"/>
    <col min="13820" max="13820" width="21.85546875" style="97" customWidth="1"/>
    <col min="13821" max="13822" width="6.140625" style="97" bestFit="1" customWidth="1"/>
    <col min="13823" max="13823" width="12.140625" style="97" bestFit="1" customWidth="1"/>
    <col min="13824" max="13824" width="39.7109375" style="97" customWidth="1"/>
    <col min="13825" max="13825" width="16.5703125" style="97" bestFit="1" customWidth="1"/>
    <col min="13826" max="13826" width="17.28515625" style="97" bestFit="1" customWidth="1"/>
    <col min="13827" max="13827" width="9.140625" style="97"/>
    <col min="13828" max="13829" width="17.28515625" style="97" bestFit="1" customWidth="1"/>
    <col min="13830" max="13830" width="17.28515625" style="97" customWidth="1"/>
    <col min="13831" max="13831" width="17.28515625" style="97" bestFit="1" customWidth="1"/>
    <col min="13832" max="14074" width="9.140625" style="97"/>
    <col min="14075" max="14075" width="9.5703125" style="97" bestFit="1" customWidth="1"/>
    <col min="14076" max="14076" width="21.85546875" style="97" customWidth="1"/>
    <col min="14077" max="14078" width="6.140625" style="97" bestFit="1" customWidth="1"/>
    <col min="14079" max="14079" width="12.140625" style="97" bestFit="1" customWidth="1"/>
    <col min="14080" max="14080" width="39.7109375" style="97" customWidth="1"/>
    <col min="14081" max="14081" width="16.5703125" style="97" bestFit="1" customWidth="1"/>
    <col min="14082" max="14082" width="17.28515625" style="97" bestFit="1" customWidth="1"/>
    <col min="14083" max="14083" width="9.140625" style="97"/>
    <col min="14084" max="14085" width="17.28515625" style="97" bestFit="1" customWidth="1"/>
    <col min="14086" max="14086" width="17.28515625" style="97" customWidth="1"/>
    <col min="14087" max="14087" width="17.28515625" style="97" bestFit="1" customWidth="1"/>
    <col min="14088" max="14330" width="9.140625" style="97"/>
    <col min="14331" max="14331" width="9.5703125" style="97" bestFit="1" customWidth="1"/>
    <col min="14332" max="14332" width="21.85546875" style="97" customWidth="1"/>
    <col min="14333" max="14334" width="6.140625" style="97" bestFit="1" customWidth="1"/>
    <col min="14335" max="14335" width="12.140625" style="97" bestFit="1" customWidth="1"/>
    <col min="14336" max="14336" width="39.7109375" style="97" customWidth="1"/>
    <col min="14337" max="14337" width="16.5703125" style="97" bestFit="1" customWidth="1"/>
    <col min="14338" max="14338" width="17.28515625" style="97" bestFit="1" customWidth="1"/>
    <col min="14339" max="14339" width="9.140625" style="97"/>
    <col min="14340" max="14341" width="17.28515625" style="97" bestFit="1" customWidth="1"/>
    <col min="14342" max="14342" width="17.28515625" style="97" customWidth="1"/>
    <col min="14343" max="14343" width="17.28515625" style="97" bestFit="1" customWidth="1"/>
    <col min="14344" max="14586" width="9.140625" style="97"/>
    <col min="14587" max="14587" width="9.5703125" style="97" bestFit="1" customWidth="1"/>
    <col min="14588" max="14588" width="21.85546875" style="97" customWidth="1"/>
    <col min="14589" max="14590" width="6.140625" style="97" bestFit="1" customWidth="1"/>
    <col min="14591" max="14591" width="12.140625" style="97" bestFit="1" customWidth="1"/>
    <col min="14592" max="14592" width="39.7109375" style="97" customWidth="1"/>
    <col min="14593" max="14593" width="16.5703125" style="97" bestFit="1" customWidth="1"/>
    <col min="14594" max="14594" width="17.28515625" style="97" bestFit="1" customWidth="1"/>
    <col min="14595" max="14595" width="9.140625" style="97"/>
    <col min="14596" max="14597" width="17.28515625" style="97" bestFit="1" customWidth="1"/>
    <col min="14598" max="14598" width="17.28515625" style="97" customWidth="1"/>
    <col min="14599" max="14599" width="17.28515625" style="97" bestFit="1" customWidth="1"/>
    <col min="14600" max="14842" width="9.140625" style="97"/>
    <col min="14843" max="14843" width="9.5703125" style="97" bestFit="1" customWidth="1"/>
    <col min="14844" max="14844" width="21.85546875" style="97" customWidth="1"/>
    <col min="14845" max="14846" width="6.140625" style="97" bestFit="1" customWidth="1"/>
    <col min="14847" max="14847" width="12.140625" style="97" bestFit="1" customWidth="1"/>
    <col min="14848" max="14848" width="39.7109375" style="97" customWidth="1"/>
    <col min="14849" max="14849" width="16.5703125" style="97" bestFit="1" customWidth="1"/>
    <col min="14850" max="14850" width="17.28515625" style="97" bestFit="1" customWidth="1"/>
    <col min="14851" max="14851" width="9.140625" style="97"/>
    <col min="14852" max="14853" width="17.28515625" style="97" bestFit="1" customWidth="1"/>
    <col min="14854" max="14854" width="17.28515625" style="97" customWidth="1"/>
    <col min="14855" max="14855" width="17.28515625" style="97" bestFit="1" customWidth="1"/>
    <col min="14856" max="15098" width="9.140625" style="97"/>
    <col min="15099" max="15099" width="9.5703125" style="97" bestFit="1" customWidth="1"/>
    <col min="15100" max="15100" width="21.85546875" style="97" customWidth="1"/>
    <col min="15101" max="15102" width="6.140625" style="97" bestFit="1" customWidth="1"/>
    <col min="15103" max="15103" width="12.140625" style="97" bestFit="1" customWidth="1"/>
    <col min="15104" max="15104" width="39.7109375" style="97" customWidth="1"/>
    <col min="15105" max="15105" width="16.5703125" style="97" bestFit="1" customWidth="1"/>
    <col min="15106" max="15106" width="17.28515625" style="97" bestFit="1" customWidth="1"/>
    <col min="15107" max="15107" width="9.140625" style="97"/>
    <col min="15108" max="15109" width="17.28515625" style="97" bestFit="1" customWidth="1"/>
    <col min="15110" max="15110" width="17.28515625" style="97" customWidth="1"/>
    <col min="15111" max="15111" width="17.28515625" style="97" bestFit="1" customWidth="1"/>
    <col min="15112" max="15354" width="9.140625" style="97"/>
    <col min="15355" max="15355" width="9.5703125" style="97" bestFit="1" customWidth="1"/>
    <col min="15356" max="15356" width="21.85546875" style="97" customWidth="1"/>
    <col min="15357" max="15358" width="6.140625" style="97" bestFit="1" customWidth="1"/>
    <col min="15359" max="15359" width="12.140625" style="97" bestFit="1" customWidth="1"/>
    <col min="15360" max="15360" width="39.7109375" style="97" customWidth="1"/>
    <col min="15361" max="15361" width="16.5703125" style="97" bestFit="1" customWidth="1"/>
    <col min="15362" max="15362" width="17.28515625" style="97" bestFit="1" customWidth="1"/>
    <col min="15363" max="15363" width="9.140625" style="97"/>
    <col min="15364" max="15365" width="17.28515625" style="97" bestFit="1" customWidth="1"/>
    <col min="15366" max="15366" width="17.28515625" style="97" customWidth="1"/>
    <col min="15367" max="15367" width="17.28515625" style="97" bestFit="1" customWidth="1"/>
    <col min="15368" max="15610" width="9.140625" style="97"/>
    <col min="15611" max="15611" width="9.5703125" style="97" bestFit="1" customWidth="1"/>
    <col min="15612" max="15612" width="21.85546875" style="97" customWidth="1"/>
    <col min="15613" max="15614" width="6.140625" style="97" bestFit="1" customWidth="1"/>
    <col min="15615" max="15615" width="12.140625" style="97" bestFit="1" customWidth="1"/>
    <col min="15616" max="15616" width="39.7109375" style="97" customWidth="1"/>
    <col min="15617" max="15617" width="16.5703125" style="97" bestFit="1" customWidth="1"/>
    <col min="15618" max="15618" width="17.28515625" style="97" bestFit="1" customWidth="1"/>
    <col min="15619" max="15619" width="9.140625" style="97"/>
    <col min="15620" max="15621" width="17.28515625" style="97" bestFit="1" customWidth="1"/>
    <col min="15622" max="15622" width="17.28515625" style="97" customWidth="1"/>
    <col min="15623" max="15623" width="17.28515625" style="97" bestFit="1" customWidth="1"/>
    <col min="15624" max="15866" width="9.140625" style="97"/>
    <col min="15867" max="15867" width="9.5703125" style="97" bestFit="1" customWidth="1"/>
    <col min="15868" max="15868" width="21.85546875" style="97" customWidth="1"/>
    <col min="15869" max="15870" width="6.140625" style="97" bestFit="1" customWidth="1"/>
    <col min="15871" max="15871" width="12.140625" style="97" bestFit="1" customWidth="1"/>
    <col min="15872" max="15872" width="39.7109375" style="97" customWidth="1"/>
    <col min="15873" max="15873" width="16.5703125" style="97" bestFit="1" customWidth="1"/>
    <col min="15874" max="15874" width="17.28515625" style="97" bestFit="1" customWidth="1"/>
    <col min="15875" max="15875" width="9.140625" style="97"/>
    <col min="15876" max="15877" width="17.28515625" style="97" bestFit="1" customWidth="1"/>
    <col min="15878" max="15878" width="17.28515625" style="97" customWidth="1"/>
    <col min="15879" max="15879" width="17.28515625" style="97" bestFit="1" customWidth="1"/>
    <col min="15880" max="16122" width="9.140625" style="97"/>
    <col min="16123" max="16123" width="9.5703125" style="97" bestFit="1" customWidth="1"/>
    <col min="16124" max="16124" width="21.85546875" style="97" customWidth="1"/>
    <col min="16125" max="16126" width="6.140625" style="97" bestFit="1" customWidth="1"/>
    <col min="16127" max="16127" width="12.140625" style="97" bestFit="1" customWidth="1"/>
    <col min="16128" max="16128" width="39.7109375" style="97" customWidth="1"/>
    <col min="16129" max="16129" width="16.5703125" style="97" bestFit="1" customWidth="1"/>
    <col min="16130" max="16130" width="17.28515625" style="97" bestFit="1" customWidth="1"/>
    <col min="16131" max="16131" width="9.140625" style="97"/>
    <col min="16132" max="16133" width="17.28515625" style="97" bestFit="1" customWidth="1"/>
    <col min="16134" max="16134" width="17.28515625" style="97" customWidth="1"/>
    <col min="16135" max="16135" width="17.28515625" style="97" bestFit="1" customWidth="1"/>
    <col min="16136" max="16384" width="9.140625" style="97"/>
  </cols>
  <sheetData>
    <row r="2" spans="1:7" ht="20.25" x14ac:dyDescent="0.2">
      <c r="A2" s="135" t="s">
        <v>502</v>
      </c>
      <c r="B2" s="135"/>
      <c r="C2" s="135"/>
      <c r="D2" s="135"/>
      <c r="E2" s="135"/>
      <c r="F2" s="135"/>
      <c r="G2" s="135"/>
    </row>
    <row r="4" spans="1:7" s="105" customFormat="1" ht="22.5" x14ac:dyDescent="0.2">
      <c r="A4" s="101" t="s">
        <v>0</v>
      </c>
      <c r="B4" s="102" t="s">
        <v>1</v>
      </c>
      <c r="C4" s="102" t="s">
        <v>2</v>
      </c>
      <c r="D4" s="103" t="s">
        <v>3</v>
      </c>
      <c r="E4" s="104" t="s">
        <v>4</v>
      </c>
      <c r="F4" s="103" t="s">
        <v>5</v>
      </c>
      <c r="G4" s="103" t="s">
        <v>489</v>
      </c>
    </row>
    <row r="6" spans="1:7" ht="13.5" thickBot="1" x14ac:dyDescent="0.25">
      <c r="A6" s="106">
        <v>100</v>
      </c>
      <c r="B6" s="107" t="s">
        <v>663</v>
      </c>
      <c r="C6" s="106">
        <v>3421</v>
      </c>
      <c r="D6" s="106">
        <v>6322</v>
      </c>
      <c r="E6" s="108">
        <v>3421000000002</v>
      </c>
      <c r="F6" s="109" t="s">
        <v>651</v>
      </c>
      <c r="G6" s="96">
        <v>3500</v>
      </c>
    </row>
    <row r="7" spans="1:7" x14ac:dyDescent="0.2">
      <c r="A7" s="110"/>
      <c r="B7" s="111" t="s">
        <v>17</v>
      </c>
      <c r="C7" s="112">
        <v>3421</v>
      </c>
      <c r="D7" s="113"/>
      <c r="E7" s="114"/>
      <c r="F7" s="115"/>
      <c r="G7" s="116">
        <f>SUM(G6)</f>
        <v>3500</v>
      </c>
    </row>
    <row r="9" spans="1:7" x14ac:dyDescent="0.2">
      <c r="A9" s="124"/>
      <c r="B9" s="125" t="s">
        <v>65</v>
      </c>
      <c r="C9" s="126"/>
      <c r="D9" s="127"/>
      <c r="E9" s="128"/>
      <c r="F9" s="129"/>
      <c r="G9" s="130">
        <f t="shared" ref="G9" si="0">SUM(G7)</f>
        <v>3500</v>
      </c>
    </row>
    <row r="11" spans="1:7" x14ac:dyDescent="0.2">
      <c r="A11" s="106"/>
      <c r="B11" s="107"/>
      <c r="C11" s="106"/>
      <c r="D11" s="106"/>
      <c r="E11" s="108"/>
      <c r="F11" s="109"/>
      <c r="G11" s="96"/>
    </row>
    <row r="12" spans="1:7" x14ac:dyDescent="0.2">
      <c r="A12" s="106"/>
      <c r="B12" s="107"/>
      <c r="C12" s="106"/>
      <c r="D12" s="106"/>
      <c r="E12" s="108"/>
      <c r="F12" s="109" t="s">
        <v>646</v>
      </c>
      <c r="G12" s="96">
        <v>500</v>
      </c>
    </row>
    <row r="13" spans="1:7" ht="13.5" thickBot="1" x14ac:dyDescent="0.25">
      <c r="A13" s="106">
        <v>200</v>
      </c>
      <c r="B13" s="107" t="s">
        <v>515</v>
      </c>
      <c r="C13" s="106">
        <v>6171</v>
      </c>
      <c r="D13" s="106">
        <v>6122</v>
      </c>
      <c r="E13" s="108">
        <v>6171020000002</v>
      </c>
      <c r="F13" s="109" t="s">
        <v>516</v>
      </c>
      <c r="G13" s="96">
        <v>200</v>
      </c>
    </row>
    <row r="14" spans="1:7" x14ac:dyDescent="0.2">
      <c r="A14" s="110"/>
      <c r="B14" s="111" t="s">
        <v>17</v>
      </c>
      <c r="C14" s="112">
        <v>6171</v>
      </c>
      <c r="D14" s="113"/>
      <c r="E14" s="114"/>
      <c r="F14" s="115"/>
      <c r="G14" s="116">
        <f>SUM(G12:G13)</f>
        <v>700</v>
      </c>
    </row>
    <row r="15" spans="1:7" x14ac:dyDescent="0.2">
      <c r="A15" s="106"/>
      <c r="B15" s="107"/>
      <c r="C15" s="106"/>
      <c r="D15" s="106"/>
      <c r="E15" s="108"/>
      <c r="F15" s="109"/>
      <c r="G15" s="96"/>
    </row>
    <row r="16" spans="1:7" x14ac:dyDescent="0.2">
      <c r="A16" s="124"/>
      <c r="B16" s="125" t="s">
        <v>96</v>
      </c>
      <c r="C16" s="126"/>
      <c r="D16" s="127"/>
      <c r="E16" s="128"/>
      <c r="F16" s="129"/>
      <c r="G16" s="130">
        <f t="shared" ref="G16" si="1">SUM(G14)</f>
        <v>700</v>
      </c>
    </row>
    <row r="19" spans="1:7" ht="13.5" thickBot="1" x14ac:dyDescent="0.25">
      <c r="A19" s="106">
        <v>600</v>
      </c>
      <c r="B19" s="107" t="s">
        <v>442</v>
      </c>
      <c r="C19" s="106">
        <v>1036</v>
      </c>
      <c r="D19" s="106">
        <v>6119</v>
      </c>
      <c r="E19" s="108">
        <v>1036000000002</v>
      </c>
      <c r="F19" s="109" t="s">
        <v>443</v>
      </c>
      <c r="G19" s="96">
        <v>1488.59</v>
      </c>
    </row>
    <row r="20" spans="1:7" x14ac:dyDescent="0.2">
      <c r="A20" s="110"/>
      <c r="B20" s="111" t="s">
        <v>17</v>
      </c>
      <c r="C20" s="112">
        <v>1036</v>
      </c>
      <c r="D20" s="113"/>
      <c r="E20" s="114"/>
      <c r="F20" s="115"/>
      <c r="G20" s="116">
        <f t="shared" ref="G20" si="2">SUM(G19)</f>
        <v>1488.59</v>
      </c>
    </row>
    <row r="22" spans="1:7" x14ac:dyDescent="0.2">
      <c r="A22" s="106">
        <v>600</v>
      </c>
      <c r="B22" s="107" t="s">
        <v>546</v>
      </c>
      <c r="C22" s="106">
        <v>6171</v>
      </c>
      <c r="D22" s="106">
        <v>6119</v>
      </c>
      <c r="E22" s="108">
        <v>9012</v>
      </c>
      <c r="F22" s="109" t="s">
        <v>549</v>
      </c>
      <c r="G22" s="96">
        <v>109.62</v>
      </c>
    </row>
    <row r="23" spans="1:7" ht="13.5" thickBot="1" x14ac:dyDescent="0.25">
      <c r="A23" s="106">
        <v>600</v>
      </c>
      <c r="B23" s="107" t="s">
        <v>546</v>
      </c>
      <c r="C23" s="106">
        <v>6171</v>
      </c>
      <c r="D23" s="106">
        <v>6119</v>
      </c>
      <c r="E23" s="108">
        <v>9012</v>
      </c>
      <c r="F23" s="109" t="s">
        <v>550</v>
      </c>
      <c r="G23" s="96">
        <v>621.21</v>
      </c>
    </row>
    <row r="24" spans="1:7" x14ac:dyDescent="0.2">
      <c r="A24" s="110"/>
      <c r="B24" s="111" t="s">
        <v>17</v>
      </c>
      <c r="C24" s="112">
        <v>6171</v>
      </c>
      <c r="D24" s="113"/>
      <c r="E24" s="114"/>
      <c r="F24" s="115"/>
      <c r="G24" s="116">
        <f>SUM(G22:G23)</f>
        <v>730.83</v>
      </c>
    </row>
    <row r="26" spans="1:7" x14ac:dyDescent="0.2">
      <c r="A26" s="124"/>
      <c r="B26" s="125" t="s">
        <v>139</v>
      </c>
      <c r="C26" s="126"/>
      <c r="D26" s="127"/>
      <c r="E26" s="128"/>
      <c r="F26" s="129"/>
      <c r="G26" s="130">
        <f>SUM(G24,G20)</f>
        <v>2219.42</v>
      </c>
    </row>
    <row r="29" spans="1:7" x14ac:dyDescent="0.2">
      <c r="A29" s="106">
        <v>900</v>
      </c>
      <c r="B29" s="107" t="s">
        <v>178</v>
      </c>
      <c r="C29" s="106">
        <v>6409</v>
      </c>
      <c r="D29" s="106">
        <v>6901</v>
      </c>
      <c r="E29" s="108">
        <v>6409000000005</v>
      </c>
      <c r="F29" s="109" t="s">
        <v>178</v>
      </c>
      <c r="G29" s="96">
        <v>2000</v>
      </c>
    </row>
    <row r="30" spans="1:7" ht="13.5" thickBot="1" x14ac:dyDescent="0.25">
      <c r="A30" s="106">
        <v>900</v>
      </c>
      <c r="B30" s="107" t="s">
        <v>554</v>
      </c>
      <c r="C30" s="106">
        <v>6409</v>
      </c>
      <c r="D30" s="106">
        <v>6909</v>
      </c>
      <c r="E30" s="108">
        <v>6409000006112</v>
      </c>
      <c r="F30" s="109" t="s">
        <v>555</v>
      </c>
      <c r="G30" s="96">
        <v>1000</v>
      </c>
    </row>
    <row r="31" spans="1:7" x14ac:dyDescent="0.2">
      <c r="A31" s="110"/>
      <c r="B31" s="111" t="s">
        <v>17</v>
      </c>
      <c r="C31" s="112">
        <v>6409</v>
      </c>
      <c r="D31" s="113"/>
      <c r="E31" s="114"/>
      <c r="F31" s="115"/>
      <c r="G31" s="116">
        <f>SUM(G29:G30)</f>
        <v>3000</v>
      </c>
    </row>
    <row r="33" spans="1:7" x14ac:dyDescent="0.2">
      <c r="A33" s="124"/>
      <c r="B33" s="125" t="s">
        <v>179</v>
      </c>
      <c r="C33" s="126"/>
      <c r="D33" s="127"/>
      <c r="E33" s="128"/>
      <c r="F33" s="129"/>
      <c r="G33" s="130">
        <f t="shared" ref="G33" si="3">SUM(G31)</f>
        <v>3000</v>
      </c>
    </row>
    <row r="36" spans="1:7" x14ac:dyDescent="0.2">
      <c r="A36" s="106">
        <v>1000</v>
      </c>
      <c r="B36" s="107" t="s">
        <v>188</v>
      </c>
      <c r="C36" s="106">
        <v>6171</v>
      </c>
      <c r="D36" s="106">
        <v>6111</v>
      </c>
      <c r="E36" s="108">
        <v>6171100000002</v>
      </c>
      <c r="F36" s="109" t="s">
        <v>558</v>
      </c>
      <c r="G36" s="96">
        <v>110</v>
      </c>
    </row>
    <row r="37" spans="1:7" x14ac:dyDescent="0.2">
      <c r="A37" s="106">
        <v>1000</v>
      </c>
      <c r="B37" s="107" t="s">
        <v>188</v>
      </c>
      <c r="C37" s="106">
        <v>6171</v>
      </c>
      <c r="D37" s="106">
        <v>6111</v>
      </c>
      <c r="E37" s="108">
        <v>6171100000002</v>
      </c>
      <c r="F37" s="109" t="s">
        <v>559</v>
      </c>
      <c r="G37" s="96">
        <v>60</v>
      </c>
    </row>
    <row r="38" spans="1:7" x14ac:dyDescent="0.2">
      <c r="A38" s="106">
        <v>1000</v>
      </c>
      <c r="B38" s="107" t="s">
        <v>188</v>
      </c>
      <c r="C38" s="106">
        <v>6171</v>
      </c>
      <c r="D38" s="106">
        <v>6125</v>
      </c>
      <c r="E38" s="108">
        <v>6171100000002</v>
      </c>
      <c r="F38" s="109" t="s">
        <v>560</v>
      </c>
      <c r="G38" s="96">
        <v>430</v>
      </c>
    </row>
    <row r="39" spans="1:7" x14ac:dyDescent="0.2">
      <c r="A39" s="106">
        <v>1000</v>
      </c>
      <c r="B39" s="107" t="s">
        <v>188</v>
      </c>
      <c r="C39" s="106">
        <v>6171</v>
      </c>
      <c r="D39" s="106">
        <v>6125</v>
      </c>
      <c r="E39" s="108">
        <v>6171100000002</v>
      </c>
      <c r="F39" s="109" t="s">
        <v>561</v>
      </c>
      <c r="G39" s="96">
        <v>750</v>
      </c>
    </row>
    <row r="40" spans="1:7" x14ac:dyDescent="0.2">
      <c r="A40" s="106">
        <v>1000</v>
      </c>
      <c r="B40" s="107" t="s">
        <v>188</v>
      </c>
      <c r="C40" s="106">
        <v>6171</v>
      </c>
      <c r="D40" s="106">
        <v>6125</v>
      </c>
      <c r="E40" s="108">
        <v>6171100000002</v>
      </c>
      <c r="F40" s="109" t="s">
        <v>562</v>
      </c>
      <c r="G40" s="96">
        <v>600</v>
      </c>
    </row>
    <row r="41" spans="1:7" x14ac:dyDescent="0.2">
      <c r="A41" s="106">
        <v>1000</v>
      </c>
      <c r="B41" s="107" t="s">
        <v>188</v>
      </c>
      <c r="C41" s="106">
        <v>6171</v>
      </c>
      <c r="D41" s="106">
        <v>6125</v>
      </c>
      <c r="E41" s="108">
        <v>6171100000002</v>
      </c>
      <c r="F41" s="109" t="s">
        <v>563</v>
      </c>
      <c r="G41" s="96">
        <v>120</v>
      </c>
    </row>
    <row r="42" spans="1:7" x14ac:dyDescent="0.2">
      <c r="A42" s="106">
        <v>1000</v>
      </c>
      <c r="B42" s="107" t="s">
        <v>188</v>
      </c>
      <c r="C42" s="106">
        <v>6171</v>
      </c>
      <c r="D42" s="106">
        <v>6909</v>
      </c>
      <c r="E42" s="108">
        <v>6171100000002</v>
      </c>
      <c r="F42" s="109" t="s">
        <v>564</v>
      </c>
      <c r="G42" s="96">
        <v>180</v>
      </c>
    </row>
    <row r="43" spans="1:7" x14ac:dyDescent="0.2">
      <c r="A43" s="106">
        <v>1000</v>
      </c>
      <c r="B43" s="107" t="s">
        <v>188</v>
      </c>
      <c r="C43" s="106">
        <v>6171</v>
      </c>
      <c r="D43" s="106">
        <v>6125</v>
      </c>
      <c r="E43" s="108">
        <v>6171100000002</v>
      </c>
      <c r="F43" s="109" t="s">
        <v>565</v>
      </c>
      <c r="G43" s="96">
        <v>550</v>
      </c>
    </row>
    <row r="44" spans="1:7" x14ac:dyDescent="0.2">
      <c r="A44" s="106">
        <v>1000</v>
      </c>
      <c r="B44" s="107" t="s">
        <v>188</v>
      </c>
      <c r="C44" s="106">
        <v>6171</v>
      </c>
      <c r="D44" s="106">
        <v>6125</v>
      </c>
      <c r="E44" s="108">
        <v>6171100000002</v>
      </c>
      <c r="F44" s="109" t="s">
        <v>566</v>
      </c>
      <c r="G44" s="96">
        <v>100</v>
      </c>
    </row>
    <row r="45" spans="1:7" x14ac:dyDescent="0.2">
      <c r="A45" s="106">
        <v>1000</v>
      </c>
      <c r="B45" s="107" t="s">
        <v>188</v>
      </c>
      <c r="C45" s="106">
        <v>6171</v>
      </c>
      <c r="D45" s="106">
        <v>6125</v>
      </c>
      <c r="E45" s="108">
        <v>6171100000002</v>
      </c>
      <c r="F45" s="109" t="s">
        <v>567</v>
      </c>
      <c r="G45" s="96">
        <v>400</v>
      </c>
    </row>
    <row r="46" spans="1:7" x14ac:dyDescent="0.2">
      <c r="A46" s="106">
        <v>1000</v>
      </c>
      <c r="B46" s="107" t="s">
        <v>188</v>
      </c>
      <c r="C46" s="106">
        <v>6171</v>
      </c>
      <c r="D46" s="106">
        <v>6111</v>
      </c>
      <c r="E46" s="108">
        <v>6171100000002</v>
      </c>
      <c r="F46" s="109" t="s">
        <v>568</v>
      </c>
      <c r="G46" s="96">
        <v>200</v>
      </c>
    </row>
    <row r="47" spans="1:7" x14ac:dyDescent="0.2">
      <c r="A47" s="106">
        <v>1000</v>
      </c>
      <c r="B47" s="107" t="s">
        <v>188</v>
      </c>
      <c r="C47" s="106">
        <v>6171</v>
      </c>
      <c r="D47" s="106">
        <v>6111</v>
      </c>
      <c r="E47" s="108">
        <v>6171100000002</v>
      </c>
      <c r="F47" s="109" t="s">
        <v>569</v>
      </c>
      <c r="G47" s="96">
        <v>285</v>
      </c>
    </row>
    <row r="48" spans="1:7" x14ac:dyDescent="0.2">
      <c r="A48" s="106">
        <v>1000</v>
      </c>
      <c r="B48" s="107" t="s">
        <v>188</v>
      </c>
      <c r="C48" s="106">
        <v>6171</v>
      </c>
      <c r="D48" s="106">
        <v>6125</v>
      </c>
      <c r="E48" s="108">
        <v>6171100000002</v>
      </c>
      <c r="F48" s="109" t="s">
        <v>570</v>
      </c>
      <c r="G48" s="96">
        <v>50</v>
      </c>
    </row>
    <row r="49" spans="1:7" x14ac:dyDescent="0.2">
      <c r="A49" s="106">
        <v>1000</v>
      </c>
      <c r="B49" s="107" t="s">
        <v>188</v>
      </c>
      <c r="C49" s="106">
        <v>6171</v>
      </c>
      <c r="D49" s="106">
        <v>6111</v>
      </c>
      <c r="E49" s="108">
        <v>6171100000002</v>
      </c>
      <c r="F49" s="109" t="s">
        <v>571</v>
      </c>
      <c r="G49" s="96">
        <v>230</v>
      </c>
    </row>
    <row r="50" spans="1:7" ht="13.5" thickBot="1" x14ac:dyDescent="0.25">
      <c r="A50" s="106">
        <v>1000</v>
      </c>
      <c r="B50" s="107" t="s">
        <v>188</v>
      </c>
      <c r="C50" s="106">
        <v>6171</v>
      </c>
      <c r="D50" s="106">
        <v>6111</v>
      </c>
      <c r="E50" s="108">
        <v>6171100000002</v>
      </c>
      <c r="F50" s="109" t="s">
        <v>572</v>
      </c>
      <c r="G50" s="96">
        <v>160</v>
      </c>
    </row>
    <row r="51" spans="1:7" x14ac:dyDescent="0.2">
      <c r="A51" s="110"/>
      <c r="B51" s="111" t="s">
        <v>17</v>
      </c>
      <c r="C51" s="112">
        <v>6171</v>
      </c>
      <c r="D51" s="113"/>
      <c r="E51" s="114"/>
      <c r="F51" s="115"/>
      <c r="G51" s="116">
        <f>SUM(G36:G50)</f>
        <v>4225</v>
      </c>
    </row>
    <row r="53" spans="1:7" x14ac:dyDescent="0.2">
      <c r="A53" s="124"/>
      <c r="B53" s="125" t="s">
        <v>189</v>
      </c>
      <c r="C53" s="126"/>
      <c r="D53" s="127"/>
      <c r="E53" s="128"/>
      <c r="F53" s="129"/>
      <c r="G53" s="130">
        <f t="shared" ref="G53" si="4">SUM(G51)</f>
        <v>4225</v>
      </c>
    </row>
    <row r="56" spans="1:7" x14ac:dyDescent="0.2">
      <c r="A56" s="106">
        <v>1100</v>
      </c>
      <c r="B56" s="107" t="s">
        <v>192</v>
      </c>
      <c r="C56" s="106">
        <v>2212</v>
      </c>
      <c r="D56" s="106">
        <v>6121</v>
      </c>
      <c r="E56" s="108">
        <v>2212000000002</v>
      </c>
      <c r="F56" s="109" t="s">
        <v>193</v>
      </c>
      <c r="G56" s="96">
        <v>300</v>
      </c>
    </row>
    <row r="57" spans="1:7" x14ac:dyDescent="0.2">
      <c r="A57" s="106">
        <v>1100</v>
      </c>
      <c r="B57" s="107" t="s">
        <v>192</v>
      </c>
      <c r="C57" s="106">
        <v>2212</v>
      </c>
      <c r="D57" s="106">
        <v>6121</v>
      </c>
      <c r="E57" s="108">
        <v>2212000000002</v>
      </c>
      <c r="F57" s="109" t="s">
        <v>577</v>
      </c>
      <c r="G57" s="96">
        <v>883.3</v>
      </c>
    </row>
    <row r="58" spans="1:7" x14ac:dyDescent="0.2">
      <c r="A58" s="106">
        <v>1100</v>
      </c>
      <c r="B58" s="107" t="s">
        <v>192</v>
      </c>
      <c r="C58" s="106">
        <v>2212</v>
      </c>
      <c r="D58" s="106">
        <v>6121</v>
      </c>
      <c r="E58" s="108">
        <v>2212000000002</v>
      </c>
      <c r="F58" s="109" t="s">
        <v>446</v>
      </c>
      <c r="G58" s="96">
        <v>200</v>
      </c>
    </row>
    <row r="59" spans="1:7" x14ac:dyDescent="0.2">
      <c r="A59" s="106">
        <v>1100</v>
      </c>
      <c r="B59" s="107" t="s">
        <v>192</v>
      </c>
      <c r="C59" s="106">
        <v>2212</v>
      </c>
      <c r="D59" s="106">
        <v>6121</v>
      </c>
      <c r="E59" s="108">
        <v>2212000000002</v>
      </c>
      <c r="F59" s="109" t="s">
        <v>579</v>
      </c>
      <c r="G59" s="96">
        <f>18000+5000</f>
        <v>23000</v>
      </c>
    </row>
    <row r="60" spans="1:7" x14ac:dyDescent="0.2">
      <c r="A60" s="106">
        <v>1100</v>
      </c>
      <c r="B60" s="107" t="s">
        <v>192</v>
      </c>
      <c r="C60" s="106">
        <v>2212</v>
      </c>
      <c r="D60" s="106">
        <v>6121</v>
      </c>
      <c r="E60" s="108">
        <v>2212000000002</v>
      </c>
      <c r="F60" s="109" t="s">
        <v>580</v>
      </c>
      <c r="G60" s="96">
        <v>10000</v>
      </c>
    </row>
    <row r="61" spans="1:7" ht="13.5" thickBot="1" x14ac:dyDescent="0.25">
      <c r="A61" s="106">
        <v>1100</v>
      </c>
      <c r="B61" s="107" t="s">
        <v>192</v>
      </c>
      <c r="C61" s="106">
        <v>2212</v>
      </c>
      <c r="D61" s="106">
        <v>6121</v>
      </c>
      <c r="E61" s="108">
        <v>2212000000002</v>
      </c>
      <c r="F61" s="109" t="s">
        <v>581</v>
      </c>
      <c r="G61" s="96"/>
    </row>
    <row r="62" spans="1:7" x14ac:dyDescent="0.2">
      <c r="A62" s="110"/>
      <c r="B62" s="111" t="s">
        <v>17</v>
      </c>
      <c r="C62" s="112">
        <v>2212</v>
      </c>
      <c r="D62" s="113"/>
      <c r="E62" s="114"/>
      <c r="F62" s="115"/>
      <c r="G62" s="116">
        <f>SUM(G56:G61)</f>
        <v>34383.300000000003</v>
      </c>
    </row>
    <row r="64" spans="1:7" x14ac:dyDescent="0.2">
      <c r="A64" s="106">
        <v>1100</v>
      </c>
      <c r="B64" s="107" t="s">
        <v>197</v>
      </c>
      <c r="C64" s="106">
        <v>2219</v>
      </c>
      <c r="D64" s="106">
        <v>6121</v>
      </c>
      <c r="E64" s="108">
        <v>2219000000002</v>
      </c>
      <c r="F64" s="109" t="s">
        <v>447</v>
      </c>
      <c r="G64" s="96">
        <v>100</v>
      </c>
    </row>
    <row r="65" spans="1:7" x14ac:dyDescent="0.2">
      <c r="A65" s="106">
        <v>1100</v>
      </c>
      <c r="B65" s="107" t="s">
        <v>197</v>
      </c>
      <c r="C65" s="106">
        <v>2219</v>
      </c>
      <c r="D65" s="106">
        <v>6121</v>
      </c>
      <c r="E65" s="108">
        <v>2219000000002</v>
      </c>
      <c r="F65" s="109" t="s">
        <v>578</v>
      </c>
      <c r="G65" s="96">
        <v>2000</v>
      </c>
    </row>
    <row r="66" spans="1:7" x14ac:dyDescent="0.2">
      <c r="A66" s="106">
        <v>1100</v>
      </c>
      <c r="B66" s="107" t="s">
        <v>197</v>
      </c>
      <c r="C66" s="106">
        <v>2219</v>
      </c>
      <c r="D66" s="106">
        <v>6121</v>
      </c>
      <c r="E66" s="108">
        <v>2219000000002</v>
      </c>
      <c r="F66" s="109" t="s">
        <v>582</v>
      </c>
      <c r="G66" s="96">
        <v>7500</v>
      </c>
    </row>
    <row r="67" spans="1:7" x14ac:dyDescent="0.2">
      <c r="A67" s="106">
        <v>1100</v>
      </c>
      <c r="B67" s="107" t="s">
        <v>197</v>
      </c>
      <c r="C67" s="106">
        <v>2219</v>
      </c>
      <c r="D67" s="106">
        <v>6121</v>
      </c>
      <c r="E67" s="108">
        <v>2219000000002</v>
      </c>
      <c r="F67" s="109" t="s">
        <v>583</v>
      </c>
      <c r="G67" s="96">
        <v>250</v>
      </c>
    </row>
    <row r="68" spans="1:7" ht="13.5" thickBot="1" x14ac:dyDescent="0.25">
      <c r="A68" s="106">
        <v>1100</v>
      </c>
      <c r="B68" s="107" t="s">
        <v>197</v>
      </c>
      <c r="C68" s="106">
        <v>2219</v>
      </c>
      <c r="D68" s="106">
        <v>6121</v>
      </c>
      <c r="E68" s="108">
        <v>2219000000002</v>
      </c>
      <c r="F68" s="109" t="s">
        <v>584</v>
      </c>
      <c r="G68" s="96">
        <v>500</v>
      </c>
    </row>
    <row r="69" spans="1:7" x14ac:dyDescent="0.2">
      <c r="A69" s="110"/>
      <c r="B69" s="111" t="s">
        <v>17</v>
      </c>
      <c r="C69" s="112">
        <v>2219</v>
      </c>
      <c r="D69" s="113"/>
      <c r="E69" s="114"/>
      <c r="F69" s="115"/>
      <c r="G69" s="116">
        <f>SUM(G64:G68)</f>
        <v>10350</v>
      </c>
    </row>
    <row r="71" spans="1:7" x14ac:dyDescent="0.2">
      <c r="A71" s="106">
        <v>1100</v>
      </c>
      <c r="B71" s="107" t="s">
        <v>207</v>
      </c>
      <c r="C71" s="106">
        <v>2310</v>
      </c>
      <c r="D71" s="106">
        <v>6121</v>
      </c>
      <c r="E71" s="108">
        <v>2310000000002</v>
      </c>
      <c r="F71" s="109" t="s">
        <v>590</v>
      </c>
      <c r="G71" s="96">
        <v>600</v>
      </c>
    </row>
    <row r="72" spans="1:7" x14ac:dyDescent="0.2">
      <c r="A72" s="106">
        <v>1100</v>
      </c>
      <c r="B72" s="107" t="s">
        <v>207</v>
      </c>
      <c r="C72" s="106">
        <v>2310</v>
      </c>
      <c r="D72" s="106">
        <v>6121</v>
      </c>
      <c r="E72" s="108">
        <v>2310000000002</v>
      </c>
      <c r="F72" s="109" t="s">
        <v>591</v>
      </c>
      <c r="G72" s="96">
        <v>1200</v>
      </c>
    </row>
    <row r="73" spans="1:7" x14ac:dyDescent="0.2">
      <c r="A73" s="106">
        <v>1100</v>
      </c>
      <c r="B73" s="107" t="s">
        <v>201</v>
      </c>
      <c r="C73" s="106">
        <v>2310</v>
      </c>
      <c r="D73" s="106">
        <v>6121</v>
      </c>
      <c r="E73" s="108">
        <v>2310000000001</v>
      </c>
      <c r="F73" s="109" t="s">
        <v>589</v>
      </c>
      <c r="G73" s="96">
        <v>2500</v>
      </c>
    </row>
    <row r="74" spans="1:7" x14ac:dyDescent="0.2">
      <c r="A74" s="106">
        <v>1100</v>
      </c>
      <c r="B74" s="107" t="s">
        <v>207</v>
      </c>
      <c r="C74" s="106">
        <v>2310</v>
      </c>
      <c r="D74" s="106">
        <v>6121</v>
      </c>
      <c r="E74" s="108">
        <v>2310000000002</v>
      </c>
      <c r="F74" s="109" t="s">
        <v>451</v>
      </c>
      <c r="G74" s="96">
        <v>150</v>
      </c>
    </row>
    <row r="75" spans="1:7" x14ac:dyDescent="0.2">
      <c r="A75" s="106">
        <v>1100</v>
      </c>
      <c r="B75" s="107" t="s">
        <v>207</v>
      </c>
      <c r="C75" s="106">
        <v>2310</v>
      </c>
      <c r="D75" s="106">
        <v>6121</v>
      </c>
      <c r="E75" s="108">
        <v>2310000000002</v>
      </c>
      <c r="F75" s="109" t="s">
        <v>592</v>
      </c>
      <c r="G75" s="96">
        <v>1100</v>
      </c>
    </row>
    <row r="76" spans="1:7" x14ac:dyDescent="0.2">
      <c r="A76" s="106">
        <v>1100</v>
      </c>
      <c r="B76" s="107" t="s">
        <v>207</v>
      </c>
      <c r="C76" s="106">
        <v>2310</v>
      </c>
      <c r="D76" s="106">
        <v>6121</v>
      </c>
      <c r="E76" s="108">
        <v>2310000000002</v>
      </c>
      <c r="F76" s="109" t="s">
        <v>593</v>
      </c>
      <c r="G76" s="96">
        <v>1129.77</v>
      </c>
    </row>
    <row r="77" spans="1:7" ht="13.5" thickBot="1" x14ac:dyDescent="0.25">
      <c r="A77" s="106">
        <v>1100</v>
      </c>
      <c r="B77" s="107" t="s">
        <v>207</v>
      </c>
      <c r="C77" s="106">
        <v>2310</v>
      </c>
      <c r="D77" s="106">
        <v>6121</v>
      </c>
      <c r="E77" s="108">
        <v>2310000000002</v>
      </c>
      <c r="F77" s="109" t="s">
        <v>594</v>
      </c>
      <c r="G77" s="96">
        <v>703.55</v>
      </c>
    </row>
    <row r="78" spans="1:7" x14ac:dyDescent="0.2">
      <c r="A78" s="110"/>
      <c r="B78" s="111" t="s">
        <v>17</v>
      </c>
      <c r="C78" s="112">
        <v>2310</v>
      </c>
      <c r="D78" s="113"/>
      <c r="E78" s="114"/>
      <c r="F78" s="115"/>
      <c r="G78" s="116">
        <f>SUM(G71:G77)</f>
        <v>7383.3200000000006</v>
      </c>
    </row>
    <row r="80" spans="1:7" x14ac:dyDescent="0.2">
      <c r="A80" s="106">
        <v>1100</v>
      </c>
      <c r="B80" s="107" t="s">
        <v>210</v>
      </c>
      <c r="C80" s="106">
        <v>2321</v>
      </c>
      <c r="D80" s="106">
        <v>6121</v>
      </c>
      <c r="E80" s="108">
        <v>2321000000002</v>
      </c>
      <c r="F80" s="109" t="s">
        <v>600</v>
      </c>
      <c r="G80" s="96">
        <v>1102.98</v>
      </c>
    </row>
    <row r="81" spans="1:7" x14ac:dyDescent="0.2">
      <c r="A81" s="106">
        <v>1100</v>
      </c>
      <c r="B81" s="107" t="s">
        <v>210</v>
      </c>
      <c r="C81" s="106">
        <v>2321</v>
      </c>
      <c r="D81" s="106">
        <v>6121</v>
      </c>
      <c r="E81" s="108">
        <v>2321000000002</v>
      </c>
      <c r="F81" s="109" t="s">
        <v>601</v>
      </c>
      <c r="G81" s="96">
        <v>1921.63</v>
      </c>
    </row>
    <row r="82" spans="1:7" ht="13.5" thickBot="1" x14ac:dyDescent="0.25">
      <c r="A82" s="106">
        <v>1100</v>
      </c>
      <c r="B82" s="107" t="s">
        <v>210</v>
      </c>
      <c r="C82" s="106">
        <v>2321</v>
      </c>
      <c r="D82" s="106">
        <v>6122</v>
      </c>
      <c r="E82" s="108">
        <v>2321000000002</v>
      </c>
      <c r="F82" s="109" t="s">
        <v>453</v>
      </c>
      <c r="G82" s="96">
        <v>450</v>
      </c>
    </row>
    <row r="83" spans="1:7" x14ac:dyDescent="0.2">
      <c r="A83" s="110"/>
      <c r="B83" s="111" t="s">
        <v>17</v>
      </c>
      <c r="C83" s="112">
        <v>2321</v>
      </c>
      <c r="D83" s="113"/>
      <c r="E83" s="114"/>
      <c r="F83" s="115"/>
      <c r="G83" s="116">
        <f>SUM(G80:G82)</f>
        <v>3474.61</v>
      </c>
    </row>
    <row r="85" spans="1:7" ht="13.5" thickBot="1" x14ac:dyDescent="0.25">
      <c r="A85" s="106">
        <v>1100</v>
      </c>
      <c r="B85" s="107" t="s">
        <v>670</v>
      </c>
      <c r="C85" s="106">
        <v>3113</v>
      </c>
      <c r="D85" s="106">
        <v>6901</v>
      </c>
      <c r="E85" s="108">
        <v>959</v>
      </c>
      <c r="F85" s="109" t="s">
        <v>671</v>
      </c>
      <c r="G85" s="96">
        <v>1500</v>
      </c>
    </row>
    <row r="86" spans="1:7" x14ac:dyDescent="0.2">
      <c r="A86" s="110"/>
      <c r="B86" s="111" t="s">
        <v>17</v>
      </c>
      <c r="C86" s="112">
        <v>3111</v>
      </c>
      <c r="D86" s="113"/>
      <c r="E86" s="114"/>
      <c r="F86" s="115"/>
      <c r="G86" s="116">
        <f>SUM(G85)</f>
        <v>1500</v>
      </c>
    </row>
    <row r="88" spans="1:7" x14ac:dyDescent="0.2">
      <c r="A88" s="106">
        <v>1100</v>
      </c>
      <c r="B88" s="107" t="s">
        <v>212</v>
      </c>
      <c r="C88" s="106">
        <v>3113</v>
      </c>
      <c r="D88" s="106">
        <v>6121</v>
      </c>
      <c r="E88" s="108">
        <v>959</v>
      </c>
      <c r="F88" s="109" t="s">
        <v>457</v>
      </c>
      <c r="G88" s="96">
        <v>5500</v>
      </c>
    </row>
    <row r="89" spans="1:7" ht="13.5" thickBot="1" x14ac:dyDescent="0.25">
      <c r="A89" s="106">
        <v>1100</v>
      </c>
      <c r="B89" s="107" t="s">
        <v>212</v>
      </c>
      <c r="C89" s="106">
        <v>3113</v>
      </c>
      <c r="D89" s="106">
        <v>6901</v>
      </c>
      <c r="E89" s="108">
        <v>959</v>
      </c>
      <c r="F89" s="109" t="s">
        <v>459</v>
      </c>
      <c r="G89" s="96">
        <v>300</v>
      </c>
    </row>
    <row r="90" spans="1:7" x14ac:dyDescent="0.2">
      <c r="A90" s="110"/>
      <c r="B90" s="111" t="s">
        <v>17</v>
      </c>
      <c r="C90" s="112">
        <v>3113</v>
      </c>
      <c r="D90" s="113"/>
      <c r="E90" s="114"/>
      <c r="F90" s="115"/>
      <c r="G90" s="116">
        <f>SUM(G88:G89)</f>
        <v>5800</v>
      </c>
    </row>
    <row r="91" spans="1:7" x14ac:dyDescent="0.2">
      <c r="A91" s="106"/>
      <c r="B91" s="107"/>
      <c r="C91" s="106"/>
      <c r="D91" s="106"/>
      <c r="E91" s="108"/>
      <c r="F91" s="109"/>
      <c r="G91" s="96"/>
    </row>
    <row r="92" spans="1:7" x14ac:dyDescent="0.2">
      <c r="A92" s="106">
        <v>1100</v>
      </c>
      <c r="B92" s="107" t="s">
        <v>217</v>
      </c>
      <c r="C92" s="106">
        <v>3113</v>
      </c>
      <c r="D92" s="106">
        <v>6121</v>
      </c>
      <c r="E92" s="108">
        <v>3113000000002</v>
      </c>
      <c r="F92" s="109" t="s">
        <v>609</v>
      </c>
      <c r="G92" s="96">
        <v>2400</v>
      </c>
    </row>
    <row r="93" spans="1:7" x14ac:dyDescent="0.2">
      <c r="A93" s="106">
        <v>1100</v>
      </c>
      <c r="B93" s="107" t="s">
        <v>217</v>
      </c>
      <c r="C93" s="106">
        <v>3113</v>
      </c>
      <c r="D93" s="106">
        <v>6121</v>
      </c>
      <c r="E93" s="108">
        <v>3113000000002</v>
      </c>
      <c r="F93" s="109" t="s">
        <v>675</v>
      </c>
      <c r="G93" s="96">
        <v>600</v>
      </c>
    </row>
    <row r="94" spans="1:7" x14ac:dyDescent="0.2">
      <c r="A94" s="106"/>
      <c r="B94" s="107"/>
      <c r="C94" s="106"/>
      <c r="D94" s="106">
        <v>6121</v>
      </c>
      <c r="E94" s="108"/>
      <c r="F94" s="109" t="s">
        <v>664</v>
      </c>
      <c r="G94" s="96">
        <v>500</v>
      </c>
    </row>
    <row r="95" spans="1:7" ht="13.5" thickBot="1" x14ac:dyDescent="0.25">
      <c r="A95" s="106">
        <v>1100</v>
      </c>
      <c r="B95" s="107" t="s">
        <v>217</v>
      </c>
      <c r="C95" s="106">
        <v>3113</v>
      </c>
      <c r="D95" s="106">
        <v>6121</v>
      </c>
      <c r="E95" s="108">
        <v>3113000000002</v>
      </c>
      <c r="F95" s="109" t="s">
        <v>458</v>
      </c>
      <c r="G95" s="96">
        <v>1000</v>
      </c>
    </row>
    <row r="96" spans="1:7" x14ac:dyDescent="0.2">
      <c r="A96" s="110"/>
      <c r="B96" s="111" t="s">
        <v>17</v>
      </c>
      <c r="C96" s="112">
        <v>3113</v>
      </c>
      <c r="D96" s="113"/>
      <c r="E96" s="114"/>
      <c r="F96" s="115"/>
      <c r="G96" s="116">
        <f>SUM(G92:G95)</f>
        <v>4500</v>
      </c>
    </row>
    <row r="98" spans="1:7" ht="13.5" thickBot="1" x14ac:dyDescent="0.25">
      <c r="A98" s="106">
        <v>1100</v>
      </c>
      <c r="B98" s="107" t="s">
        <v>610</v>
      </c>
      <c r="C98" s="106">
        <v>3612</v>
      </c>
      <c r="D98" s="106">
        <v>6121</v>
      </c>
      <c r="E98" s="108">
        <v>3612000000002</v>
      </c>
      <c r="F98" s="109" t="s">
        <v>660</v>
      </c>
      <c r="G98" s="96">
        <v>1000</v>
      </c>
    </row>
    <row r="99" spans="1:7" x14ac:dyDescent="0.2">
      <c r="A99" s="110"/>
      <c r="B99" s="111" t="s">
        <v>17</v>
      </c>
      <c r="C99" s="112">
        <v>3612</v>
      </c>
      <c r="D99" s="113"/>
      <c r="E99" s="114"/>
      <c r="F99" s="115"/>
      <c r="G99" s="116">
        <f>SUM(G98:G98)</f>
        <v>1000</v>
      </c>
    </row>
    <row r="101" spans="1:7" ht="13.5" thickBot="1" x14ac:dyDescent="0.25">
      <c r="A101" s="106">
        <v>1100</v>
      </c>
      <c r="B101" s="107" t="s">
        <v>462</v>
      </c>
      <c r="C101" s="106">
        <v>3613</v>
      </c>
      <c r="D101" s="106">
        <v>6121</v>
      </c>
      <c r="E101" s="108">
        <v>3613000000002</v>
      </c>
      <c r="F101" s="109" t="s">
        <v>659</v>
      </c>
      <c r="G101" s="96">
        <v>1452</v>
      </c>
    </row>
    <row r="102" spans="1:7" x14ac:dyDescent="0.2">
      <c r="A102" s="110"/>
      <c r="B102" s="111" t="s">
        <v>17</v>
      </c>
      <c r="C102" s="112">
        <v>3613</v>
      </c>
      <c r="D102" s="113"/>
      <c r="E102" s="114"/>
      <c r="F102" s="115"/>
      <c r="G102" s="116">
        <f>SUM(G101:G101)</f>
        <v>1452</v>
      </c>
    </row>
    <row r="104" spans="1:7" x14ac:dyDescent="0.2">
      <c r="A104" s="106">
        <v>1100</v>
      </c>
      <c r="B104" s="107" t="s">
        <v>226</v>
      </c>
      <c r="C104" s="106">
        <v>3631</v>
      </c>
      <c r="D104" s="106">
        <v>6121</v>
      </c>
      <c r="E104" s="108">
        <v>3631000000002</v>
      </c>
      <c r="F104" s="109" t="s">
        <v>463</v>
      </c>
      <c r="G104" s="96">
        <v>250</v>
      </c>
    </row>
    <row r="105" spans="1:7" x14ac:dyDescent="0.2">
      <c r="A105" s="106">
        <v>1100</v>
      </c>
      <c r="B105" s="107" t="s">
        <v>226</v>
      </c>
      <c r="C105" s="106">
        <v>3631</v>
      </c>
      <c r="D105" s="106">
        <v>6121</v>
      </c>
      <c r="E105" s="108">
        <v>3631000000002</v>
      </c>
      <c r="F105" s="109" t="s">
        <v>611</v>
      </c>
      <c r="G105" s="96">
        <v>250</v>
      </c>
    </row>
    <row r="106" spans="1:7" x14ac:dyDescent="0.2">
      <c r="A106" s="106">
        <v>1100</v>
      </c>
      <c r="B106" s="107" t="s">
        <v>226</v>
      </c>
      <c r="C106" s="106">
        <v>3631</v>
      </c>
      <c r="D106" s="106">
        <v>6121</v>
      </c>
      <c r="E106" s="108">
        <v>3631000000002</v>
      </c>
      <c r="F106" s="109" t="s">
        <v>612</v>
      </c>
      <c r="G106" s="96">
        <v>500</v>
      </c>
    </row>
    <row r="107" spans="1:7" x14ac:dyDescent="0.2">
      <c r="A107" s="106">
        <v>1100</v>
      </c>
      <c r="B107" s="107" t="s">
        <v>226</v>
      </c>
      <c r="C107" s="106">
        <v>3631</v>
      </c>
      <c r="D107" s="106">
        <v>6121</v>
      </c>
      <c r="E107" s="108">
        <v>3631000000002</v>
      </c>
      <c r="F107" s="109" t="s">
        <v>464</v>
      </c>
      <c r="G107" s="96">
        <v>1500</v>
      </c>
    </row>
    <row r="108" spans="1:7" x14ac:dyDescent="0.2">
      <c r="A108" s="106">
        <v>1100</v>
      </c>
      <c r="B108" s="107" t="s">
        <v>226</v>
      </c>
      <c r="C108" s="106">
        <v>3631</v>
      </c>
      <c r="D108" s="106">
        <v>6121</v>
      </c>
      <c r="E108" s="108">
        <v>3631000000002</v>
      </c>
      <c r="F108" s="109" t="s">
        <v>613</v>
      </c>
      <c r="G108" s="96">
        <v>850</v>
      </c>
    </row>
    <row r="109" spans="1:7" x14ac:dyDescent="0.2">
      <c r="A109" s="106">
        <v>1100</v>
      </c>
      <c r="B109" s="107" t="s">
        <v>226</v>
      </c>
      <c r="C109" s="106">
        <v>3631</v>
      </c>
      <c r="D109" s="106">
        <v>6121</v>
      </c>
      <c r="E109" s="108">
        <v>3631000000002</v>
      </c>
      <c r="F109" s="109" t="s">
        <v>465</v>
      </c>
      <c r="G109" s="96">
        <v>700</v>
      </c>
    </row>
    <row r="110" spans="1:7" x14ac:dyDescent="0.2">
      <c r="A110" s="106">
        <v>1100</v>
      </c>
      <c r="B110" s="107" t="s">
        <v>226</v>
      </c>
      <c r="C110" s="106">
        <v>3631</v>
      </c>
      <c r="D110" s="106">
        <v>6121</v>
      </c>
      <c r="E110" s="108">
        <v>3631000000002</v>
      </c>
      <c r="F110" s="109" t="s">
        <v>466</v>
      </c>
      <c r="G110" s="96">
        <v>450</v>
      </c>
    </row>
    <row r="111" spans="1:7" x14ac:dyDescent="0.2">
      <c r="A111" s="106">
        <v>1100</v>
      </c>
      <c r="B111" s="107" t="s">
        <v>226</v>
      </c>
      <c r="C111" s="106">
        <v>3631</v>
      </c>
      <c r="D111" s="106">
        <v>6121</v>
      </c>
      <c r="E111" s="108">
        <v>3631000000002</v>
      </c>
      <c r="F111" s="109" t="s">
        <v>467</v>
      </c>
      <c r="G111" s="96">
        <v>400</v>
      </c>
    </row>
    <row r="112" spans="1:7" ht="13.5" thickBot="1" x14ac:dyDescent="0.25">
      <c r="A112" s="106">
        <v>1100</v>
      </c>
      <c r="B112" s="107" t="s">
        <v>226</v>
      </c>
      <c r="C112" s="106">
        <v>3631</v>
      </c>
      <c r="D112" s="106">
        <v>6121</v>
      </c>
      <c r="E112" s="108">
        <v>3631000000002</v>
      </c>
      <c r="F112" s="109" t="s">
        <v>468</v>
      </c>
      <c r="G112" s="96">
        <v>100</v>
      </c>
    </row>
    <row r="113" spans="1:7" x14ac:dyDescent="0.2">
      <c r="A113" s="110"/>
      <c r="B113" s="111" t="s">
        <v>17</v>
      </c>
      <c r="C113" s="112">
        <v>3631</v>
      </c>
      <c r="D113" s="113"/>
      <c r="E113" s="114"/>
      <c r="F113" s="115"/>
      <c r="G113" s="116">
        <f>SUM(G104:G112)</f>
        <v>5000</v>
      </c>
    </row>
    <row r="115" spans="1:7" x14ac:dyDescent="0.2">
      <c r="A115" s="106">
        <v>1100</v>
      </c>
      <c r="B115" s="107" t="s">
        <v>231</v>
      </c>
      <c r="C115" s="106">
        <v>3636</v>
      </c>
      <c r="D115" s="106">
        <v>6130</v>
      </c>
      <c r="E115" s="108">
        <v>3636000000002</v>
      </c>
      <c r="F115" s="109" t="s">
        <v>232</v>
      </c>
      <c r="G115" s="96">
        <v>500</v>
      </c>
    </row>
    <row r="116" spans="1:7" ht="13.5" thickBot="1" x14ac:dyDescent="0.25">
      <c r="A116" s="106">
        <v>1100</v>
      </c>
      <c r="B116" s="107" t="s">
        <v>231</v>
      </c>
      <c r="C116" s="106">
        <v>3636</v>
      </c>
      <c r="D116" s="106">
        <v>6130</v>
      </c>
      <c r="E116" s="108">
        <v>3636000000002</v>
      </c>
      <c r="F116" s="109" t="s">
        <v>615</v>
      </c>
      <c r="G116" s="96">
        <v>107.13</v>
      </c>
    </row>
    <row r="117" spans="1:7" x14ac:dyDescent="0.2">
      <c r="A117" s="110"/>
      <c r="B117" s="111" t="s">
        <v>17</v>
      </c>
      <c r="C117" s="112">
        <v>3636</v>
      </c>
      <c r="D117" s="113"/>
      <c r="E117" s="114"/>
      <c r="F117" s="115"/>
      <c r="G117" s="116">
        <f>SUM(G115:G116)</f>
        <v>607.13</v>
      </c>
    </row>
    <row r="119" spans="1:7" ht="13.5" thickBot="1" x14ac:dyDescent="0.25">
      <c r="A119" s="106">
        <v>1100</v>
      </c>
      <c r="B119" s="107" t="s">
        <v>259</v>
      </c>
      <c r="C119" s="106">
        <v>3722</v>
      </c>
      <c r="D119" s="106">
        <v>6121</v>
      </c>
      <c r="E119" s="108">
        <v>3722000000002</v>
      </c>
      <c r="F119" s="109" t="s">
        <v>661</v>
      </c>
      <c r="G119" s="96">
        <v>1700</v>
      </c>
    </row>
    <row r="120" spans="1:7" x14ac:dyDescent="0.2">
      <c r="A120" s="110"/>
      <c r="B120" s="111" t="s">
        <v>17</v>
      </c>
      <c r="C120" s="112">
        <v>3722</v>
      </c>
      <c r="D120" s="113"/>
      <c r="E120" s="114"/>
      <c r="F120" s="115"/>
      <c r="G120" s="116">
        <f>SUM(G119:G119)</f>
        <v>1700</v>
      </c>
    </row>
    <row r="122" spans="1:7" x14ac:dyDescent="0.2">
      <c r="A122" s="124"/>
      <c r="B122" s="125" t="s">
        <v>240</v>
      </c>
      <c r="C122" s="126"/>
      <c r="D122" s="127"/>
      <c r="E122" s="128"/>
      <c r="F122" s="129"/>
      <c r="G122" s="130">
        <f>SUM(G120,G117,G113,G102,G99,G96,G90,G86,G83,G78,G69,G62)</f>
        <v>77150.36</v>
      </c>
    </row>
    <row r="125" spans="1:7" ht="13.5" thickBot="1" x14ac:dyDescent="0.25">
      <c r="A125" s="106">
        <v>1200</v>
      </c>
      <c r="B125" s="107" t="s">
        <v>618</v>
      </c>
      <c r="C125" s="106">
        <v>2219</v>
      </c>
      <c r="D125" s="106">
        <v>6122</v>
      </c>
      <c r="E125" s="108">
        <v>2219000000003</v>
      </c>
      <c r="F125" s="109" t="s">
        <v>619</v>
      </c>
      <c r="G125" s="96">
        <v>90</v>
      </c>
    </row>
    <row r="126" spans="1:7" x14ac:dyDescent="0.2">
      <c r="A126" s="110"/>
      <c r="B126" s="111" t="s">
        <v>17</v>
      </c>
      <c r="C126" s="112">
        <v>2219</v>
      </c>
      <c r="D126" s="113"/>
      <c r="E126" s="114"/>
      <c r="F126" s="115"/>
      <c r="G126" s="116">
        <f>SUM(G125:G125)</f>
        <v>90</v>
      </c>
    </row>
    <row r="128" spans="1:7" ht="13.5" thickBot="1" x14ac:dyDescent="0.25">
      <c r="A128" s="106">
        <v>1200</v>
      </c>
      <c r="B128" s="107" t="s">
        <v>620</v>
      </c>
      <c r="C128" s="106">
        <v>3632</v>
      </c>
      <c r="D128" s="106">
        <v>6121</v>
      </c>
      <c r="E128" s="108">
        <v>12011</v>
      </c>
      <c r="F128" s="109" t="s">
        <v>621</v>
      </c>
      <c r="G128" s="96">
        <v>600</v>
      </c>
    </row>
    <row r="129" spans="1:7" x14ac:dyDescent="0.2">
      <c r="A129" s="110"/>
      <c r="B129" s="111" t="s">
        <v>17</v>
      </c>
      <c r="C129" s="112">
        <v>3632</v>
      </c>
      <c r="D129" s="113"/>
      <c r="E129" s="114"/>
      <c r="F129" s="115"/>
      <c r="G129" s="116">
        <f>SUM(G128:G128)</f>
        <v>600</v>
      </c>
    </row>
    <row r="131" spans="1:7" ht="13.5" thickBot="1" x14ac:dyDescent="0.25">
      <c r="A131" s="106">
        <v>1200</v>
      </c>
      <c r="B131" s="107" t="s">
        <v>406</v>
      </c>
      <c r="C131" s="106">
        <v>3639</v>
      </c>
      <c r="D131" s="106">
        <v>6123</v>
      </c>
      <c r="E131" s="108">
        <v>3639000000002</v>
      </c>
      <c r="F131" s="109" t="s">
        <v>622</v>
      </c>
      <c r="G131" s="96">
        <v>2000</v>
      </c>
    </row>
    <row r="132" spans="1:7" x14ac:dyDescent="0.2">
      <c r="A132" s="110"/>
      <c r="B132" s="111" t="s">
        <v>17</v>
      </c>
      <c r="C132" s="112">
        <v>3639</v>
      </c>
      <c r="D132" s="113"/>
      <c r="E132" s="114"/>
      <c r="F132" s="115"/>
      <c r="G132" s="116">
        <f>SUM(G131:G131)</f>
        <v>2000</v>
      </c>
    </row>
    <row r="134" spans="1:7" x14ac:dyDescent="0.2">
      <c r="A134" s="106">
        <v>1200</v>
      </c>
      <c r="B134" s="107" t="s">
        <v>265</v>
      </c>
      <c r="C134" s="106">
        <v>3745</v>
      </c>
      <c r="D134" s="106">
        <v>6122</v>
      </c>
      <c r="E134" s="108">
        <v>3745000000002</v>
      </c>
      <c r="F134" s="109" t="s">
        <v>624</v>
      </c>
      <c r="G134" s="96">
        <v>500</v>
      </c>
    </row>
    <row r="135" spans="1:7" x14ac:dyDescent="0.2">
      <c r="A135" s="106"/>
      <c r="B135" s="107"/>
      <c r="C135" s="106"/>
      <c r="D135" s="106"/>
      <c r="E135" s="108"/>
      <c r="F135" s="109" t="s">
        <v>653</v>
      </c>
      <c r="G135" s="96">
        <v>200</v>
      </c>
    </row>
    <row r="136" spans="1:7" ht="13.5" thickBot="1" x14ac:dyDescent="0.25">
      <c r="A136" s="106">
        <v>1200</v>
      </c>
      <c r="B136" s="107" t="s">
        <v>265</v>
      </c>
      <c r="C136" s="106">
        <v>3745</v>
      </c>
      <c r="D136" s="106">
        <v>6123</v>
      </c>
      <c r="E136" s="108">
        <v>3745000000002</v>
      </c>
      <c r="F136" s="109" t="s">
        <v>647</v>
      </c>
      <c r="G136" s="96">
        <v>2300</v>
      </c>
    </row>
    <row r="137" spans="1:7" x14ac:dyDescent="0.2">
      <c r="A137" s="110"/>
      <c r="B137" s="111" t="s">
        <v>17</v>
      </c>
      <c r="C137" s="112">
        <v>3745</v>
      </c>
      <c r="D137" s="113"/>
      <c r="E137" s="114"/>
      <c r="F137" s="115"/>
      <c r="G137" s="116">
        <f>SUM(G134:G136)</f>
        <v>3000</v>
      </c>
    </row>
    <row r="139" spans="1:7" x14ac:dyDescent="0.2">
      <c r="A139" s="124"/>
      <c r="B139" s="125" t="s">
        <v>266</v>
      </c>
      <c r="C139" s="126"/>
      <c r="D139" s="127"/>
      <c r="E139" s="128"/>
      <c r="F139" s="129"/>
      <c r="G139" s="130">
        <f>SUM(G137,G132,G129,G126)</f>
        <v>5690</v>
      </c>
    </row>
    <row r="142" spans="1:7" x14ac:dyDescent="0.2">
      <c r="A142" s="106">
        <v>1300</v>
      </c>
      <c r="B142" s="107" t="s">
        <v>235</v>
      </c>
      <c r="C142" s="106">
        <v>5512</v>
      </c>
      <c r="D142" s="106">
        <v>6121</v>
      </c>
      <c r="E142" s="108">
        <v>5512000000002</v>
      </c>
      <c r="F142" s="109" t="s">
        <v>625</v>
      </c>
      <c r="G142" s="96">
        <v>365</v>
      </c>
    </row>
    <row r="143" spans="1:7" ht="13.5" thickBot="1" x14ac:dyDescent="0.25">
      <c r="A143" s="106">
        <v>1300</v>
      </c>
      <c r="B143" s="107" t="s">
        <v>235</v>
      </c>
      <c r="C143" s="106">
        <v>5512</v>
      </c>
      <c r="D143" s="106">
        <v>6121</v>
      </c>
      <c r="E143" s="108">
        <v>5512000000002</v>
      </c>
      <c r="F143" s="109" t="s">
        <v>644</v>
      </c>
      <c r="G143" s="96">
        <v>700</v>
      </c>
    </row>
    <row r="144" spans="1:7" x14ac:dyDescent="0.2">
      <c r="A144" s="110"/>
      <c r="B144" s="111" t="s">
        <v>17</v>
      </c>
      <c r="C144" s="112">
        <v>5512</v>
      </c>
      <c r="D144" s="113"/>
      <c r="E144" s="114"/>
      <c r="F144" s="115"/>
      <c r="G144" s="116">
        <f>SUM(G142:G143)</f>
        <v>1065</v>
      </c>
    </row>
    <row r="146" spans="1:7" x14ac:dyDescent="0.2">
      <c r="A146" s="124"/>
      <c r="B146" s="125" t="s">
        <v>276</v>
      </c>
      <c r="C146" s="126"/>
      <c r="D146" s="127"/>
      <c r="E146" s="128"/>
      <c r="F146" s="129"/>
      <c r="G146" s="130">
        <f t="shared" ref="G146" si="5">SUM(G144)</f>
        <v>1065</v>
      </c>
    </row>
    <row r="149" spans="1:7" x14ac:dyDescent="0.2">
      <c r="A149" s="106">
        <v>1400</v>
      </c>
      <c r="B149" s="107" t="s">
        <v>280</v>
      </c>
      <c r="C149" s="106">
        <v>4350</v>
      </c>
      <c r="D149" s="106">
        <v>6121</v>
      </c>
      <c r="E149" s="108">
        <v>4350000000002</v>
      </c>
      <c r="F149" s="109" t="s">
        <v>628</v>
      </c>
      <c r="G149" s="96">
        <v>705</v>
      </c>
    </row>
    <row r="150" spans="1:7" x14ac:dyDescent="0.2">
      <c r="A150" s="106">
        <v>1400</v>
      </c>
      <c r="B150" s="107" t="s">
        <v>280</v>
      </c>
      <c r="C150" s="106">
        <v>4350</v>
      </c>
      <c r="D150" s="106">
        <v>6121</v>
      </c>
      <c r="E150" s="108">
        <v>4350000000002</v>
      </c>
      <c r="F150" s="109" t="s">
        <v>629</v>
      </c>
      <c r="G150" s="96">
        <v>1300</v>
      </c>
    </row>
    <row r="151" spans="1:7" x14ac:dyDescent="0.2">
      <c r="A151" s="106"/>
      <c r="B151" s="107"/>
      <c r="C151" s="106"/>
      <c r="D151" s="106"/>
      <c r="E151" s="108"/>
      <c r="F151" s="109" t="s">
        <v>645</v>
      </c>
      <c r="G151" s="96">
        <v>100</v>
      </c>
    </row>
    <row r="152" spans="1:7" ht="13.5" thickBot="1" x14ac:dyDescent="0.25">
      <c r="A152" s="106">
        <v>1400</v>
      </c>
      <c r="B152" s="107" t="s">
        <v>280</v>
      </c>
      <c r="C152" s="106">
        <v>4350</v>
      </c>
      <c r="D152" s="106">
        <v>6901</v>
      </c>
      <c r="E152" s="108">
        <v>4350000000002</v>
      </c>
      <c r="F152" s="109" t="s">
        <v>29</v>
      </c>
      <c r="G152" s="96">
        <v>80</v>
      </c>
    </row>
    <row r="153" spans="1:7" x14ac:dyDescent="0.2">
      <c r="A153" s="110"/>
      <c r="B153" s="111" t="s">
        <v>17</v>
      </c>
      <c r="C153" s="112">
        <v>4350</v>
      </c>
      <c r="D153" s="113"/>
      <c r="E153" s="114"/>
      <c r="F153" s="115"/>
      <c r="G153" s="116">
        <f>SUM(G149:G152)</f>
        <v>2185</v>
      </c>
    </row>
    <row r="155" spans="1:7" ht="13.5" thickBot="1" x14ac:dyDescent="0.25">
      <c r="A155" s="106">
        <v>1400</v>
      </c>
      <c r="B155" s="107" t="s">
        <v>631</v>
      </c>
      <c r="C155" s="106">
        <v>4351</v>
      </c>
      <c r="D155" s="106">
        <v>6123</v>
      </c>
      <c r="E155" s="108">
        <v>4351000000002</v>
      </c>
      <c r="F155" s="109" t="s">
        <v>632</v>
      </c>
      <c r="G155" s="96">
        <v>750</v>
      </c>
    </row>
    <row r="156" spans="1:7" x14ac:dyDescent="0.2">
      <c r="A156" s="110"/>
      <c r="B156" s="111" t="s">
        <v>17</v>
      </c>
      <c r="C156" s="112">
        <v>4351</v>
      </c>
      <c r="D156" s="113"/>
      <c r="E156" s="114"/>
      <c r="F156" s="115"/>
      <c r="G156" s="116">
        <f>SUM(G155:G155)</f>
        <v>750</v>
      </c>
    </row>
    <row r="158" spans="1:7" x14ac:dyDescent="0.2">
      <c r="A158" s="124"/>
      <c r="B158" s="125" t="s">
        <v>286</v>
      </c>
      <c r="C158" s="126"/>
      <c r="D158" s="127"/>
      <c r="E158" s="128"/>
      <c r="F158" s="129"/>
      <c r="G158" s="130">
        <f>SUM(G156,G153)</f>
        <v>2935</v>
      </c>
    </row>
    <row r="161" spans="1:7" ht="13.5" thickBot="1" x14ac:dyDescent="0.25">
      <c r="A161" s="106">
        <v>2000</v>
      </c>
      <c r="B161" s="107" t="s">
        <v>635</v>
      </c>
      <c r="C161" s="106">
        <v>5311</v>
      </c>
      <c r="D161" s="106">
        <v>6123</v>
      </c>
      <c r="E161" s="108">
        <v>5311000000002</v>
      </c>
      <c r="F161" s="109" t="s">
        <v>636</v>
      </c>
      <c r="G161" s="96">
        <v>800</v>
      </c>
    </row>
    <row r="162" spans="1:7" x14ac:dyDescent="0.2">
      <c r="A162" s="110"/>
      <c r="B162" s="111" t="s">
        <v>17</v>
      </c>
      <c r="C162" s="112"/>
      <c r="D162" s="112">
        <v>5311</v>
      </c>
      <c r="E162" s="114"/>
      <c r="F162" s="115"/>
      <c r="G162" s="116">
        <f>SUM(G161:G161)</f>
        <v>800</v>
      </c>
    </row>
    <row r="164" spans="1:7" x14ac:dyDescent="0.2">
      <c r="A164" s="124"/>
      <c r="B164" s="125" t="s">
        <v>306</v>
      </c>
      <c r="C164" s="126"/>
      <c r="D164" s="127"/>
      <c r="E164" s="128"/>
      <c r="F164" s="129"/>
      <c r="G164" s="130">
        <f t="shared" ref="G164" si="6">SUM(G162)</f>
        <v>800</v>
      </c>
    </row>
    <row r="166" spans="1:7" x14ac:dyDescent="0.2">
      <c r="A166" s="124"/>
      <c r="B166" s="125" t="s">
        <v>307</v>
      </c>
      <c r="C166" s="126"/>
      <c r="D166" s="127"/>
      <c r="E166" s="128"/>
      <c r="F166" s="129"/>
      <c r="G166" s="130">
        <f>SUM(G164,G158,G146,G139,G122,G53,G33,G26,G16,G9)</f>
        <v>101284.78</v>
      </c>
    </row>
  </sheetData>
  <autoFilter ref="A4:G164"/>
  <mergeCells count="1">
    <mergeCell ref="A2:G2"/>
  </mergeCells>
  <pageMargins left="0.78740157480314965" right="0.78740157480314965" top="0.78740157480314965" bottom="0.39370078740157483" header="0.51181102362204722" footer="0.51181102362204722"/>
  <pageSetup paperSize="9" fitToHeight="0" orientation="landscape" r:id="rId1"/>
  <headerFooter alignWithMargins="0">
    <oddHeader>&amp;RStránka &amp;P z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Bilance 2022</vt:lpstr>
      <vt:lpstr>Příjmy 2022</vt:lpstr>
      <vt:lpstr>Výdaje 2022 provoz</vt:lpstr>
      <vt:lpstr>Výdaje 2022 investice</vt:lpstr>
      <vt:lpstr>List3</vt:lpstr>
      <vt:lpstr>'Příjmy 2022'!Názvy_tisku</vt:lpstr>
      <vt:lpstr>'Výdaje 2022 investice'!Názvy_tisku</vt:lpstr>
      <vt:lpstr>'Výdaje 2022 provoz'!Názvy_tisku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</dc:creator>
  <cp:lastModifiedBy>Jana Ullrichová</cp:lastModifiedBy>
  <cp:lastPrinted>2021-11-15T08:58:59Z</cp:lastPrinted>
  <dcterms:created xsi:type="dcterms:W3CDTF">2019-10-08T10:32:10Z</dcterms:created>
  <dcterms:modified xsi:type="dcterms:W3CDTF">2021-11-15T11:44:06Z</dcterms:modified>
</cp:coreProperties>
</file>