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2"/>
  </bookViews>
  <sheets>
    <sheet name="Bilance" sheetId="1" r:id="rId1"/>
    <sheet name="Příjmy" sheetId="2" r:id="rId2"/>
    <sheet name="Výdaje" sheetId="3" r:id="rId3"/>
    <sheet name="Investice" sheetId="4" r:id="rId4"/>
  </sheets>
  <definedNames/>
  <calcPr fullCalcOnLoad="1"/>
</workbook>
</file>

<file path=xl/sharedStrings.xml><?xml version="1.0" encoding="utf-8"?>
<sst xmlns="http://schemas.openxmlformats.org/spreadsheetml/2006/main" count="4548" uniqueCount="866">
  <si>
    <t>ORJ</t>
  </si>
  <si>
    <t>Název akce</t>
  </si>
  <si>
    <t>OdPa</t>
  </si>
  <si>
    <t>Pol</t>
  </si>
  <si>
    <t>Akce</t>
  </si>
  <si>
    <t>Popis položky z finančního profilu</t>
  </si>
  <si>
    <t>0000</t>
  </si>
  <si>
    <t>Souhrnný dotační vztah - výkon st. správy</t>
  </si>
  <si>
    <t>000000</t>
  </si>
  <si>
    <t>4112</t>
  </si>
  <si>
    <t>0000000000000</t>
  </si>
  <si>
    <t>Celkem za OdPa</t>
  </si>
  <si>
    <t>Celkem za ORJ 0000</t>
  </si>
  <si>
    <t>0100</t>
  </si>
  <si>
    <t>OVV - příjmy</t>
  </si>
  <si>
    <t>002299</t>
  </si>
  <si>
    <t>2212</t>
  </si>
  <si>
    <t>přijaté sankční platby v oblasti dopravy</t>
  </si>
  <si>
    <t>006171</t>
  </si>
  <si>
    <t>2111</t>
  </si>
  <si>
    <t>příjmy z poskytování služeb a výrobků</t>
  </si>
  <si>
    <t>sankční platby od jiných subjektů - pokuty za přes</t>
  </si>
  <si>
    <t>2324</t>
  </si>
  <si>
    <t>přijaté nekapitálové příspěvky a náhrady</t>
  </si>
  <si>
    <t>Celkem za ORJ 0100</t>
  </si>
  <si>
    <t>0200</t>
  </si>
  <si>
    <t>OD - příjmy</t>
  </si>
  <si>
    <t>1361</t>
  </si>
  <si>
    <t>Správní poplatky</t>
  </si>
  <si>
    <t>přijaté sankční platby (pokuty)</t>
  </si>
  <si>
    <t>Celkem za ORJ 0200</t>
  </si>
  <si>
    <t>0300</t>
  </si>
  <si>
    <t>OSVZ - příjmy</t>
  </si>
  <si>
    <t>2329</t>
  </si>
  <si>
    <t>Recepty na opiáty</t>
  </si>
  <si>
    <t>Celkem za ORJ 0300</t>
  </si>
  <si>
    <t>0320</t>
  </si>
  <si>
    <t>OSPOD - dotace</t>
  </si>
  <si>
    <t>4111</t>
  </si>
  <si>
    <t>Dotace na OSPOD</t>
  </si>
  <si>
    <t>Celkem za ORJ 0320</t>
  </si>
  <si>
    <t>0500</t>
  </si>
  <si>
    <t>OŽÚ - příjmy</t>
  </si>
  <si>
    <t>správní poplatky</t>
  </si>
  <si>
    <t>002169</t>
  </si>
  <si>
    <t>Přijaté sankční platby od jiných subjektů - pokuty</t>
  </si>
  <si>
    <t>Celkem za ORJ 0500</t>
  </si>
  <si>
    <t>0600</t>
  </si>
  <si>
    <t>OŽP - příjmy</t>
  </si>
  <si>
    <t>003769</t>
  </si>
  <si>
    <t>Přijaté sankční platby - ekologické pokuty</t>
  </si>
  <si>
    <t>Celkem za ORJ 0600</t>
  </si>
  <si>
    <t>0700</t>
  </si>
  <si>
    <t>SO - příjmy</t>
  </si>
  <si>
    <t>přijaté sankční platby od j.s. - pokuty</t>
  </si>
  <si>
    <t>Celkem za ORJ 0700</t>
  </si>
  <si>
    <t>0800</t>
  </si>
  <si>
    <t>Knihovna - příjmy</t>
  </si>
  <si>
    <t>003314</t>
  </si>
  <si>
    <t>příjmy z poskytování výrobků a služeb</t>
  </si>
  <si>
    <t>IL - příjmy - inzerce</t>
  </si>
  <si>
    <t>003349</t>
  </si>
  <si>
    <t>inzerce v IL</t>
  </si>
  <si>
    <t>Kultura - příjmy</t>
  </si>
  <si>
    <t>003392</t>
  </si>
  <si>
    <t>Příjmy z poskytování služeb a výrobků</t>
  </si>
  <si>
    <t>Ostatní záležitosti kultury - příjmy</t>
  </si>
  <si>
    <t>003399</t>
  </si>
  <si>
    <t>Celkem za ORJ 0800</t>
  </si>
  <si>
    <t>0900</t>
  </si>
  <si>
    <t>DzP FO ze závislé činnosti</t>
  </si>
  <si>
    <t>1111</t>
  </si>
  <si>
    <t>DzP FO ze SVČ (z přiznání)</t>
  </si>
  <si>
    <t>1112</t>
  </si>
  <si>
    <t>DzP FO ze SVČ</t>
  </si>
  <si>
    <t>DzP FO z kap. výnosů</t>
  </si>
  <si>
    <t>1113</t>
  </si>
  <si>
    <t>DzP PO</t>
  </si>
  <si>
    <t>1121</t>
  </si>
  <si>
    <t>DPH</t>
  </si>
  <si>
    <t>1211</t>
  </si>
  <si>
    <t>příjem - poplatek za likvidaci komunálního odpadu</t>
  </si>
  <si>
    <t>1340</t>
  </si>
  <si>
    <t>poplatek za likvidaci komunálního odpadu</t>
  </si>
  <si>
    <t>příjem - poplatek ze psů</t>
  </si>
  <si>
    <t>1341</t>
  </si>
  <si>
    <t>příjem - poplatek za rekreační pobyt</t>
  </si>
  <si>
    <t>1342</t>
  </si>
  <si>
    <t>Poplatek za užívání veřejného prostranství</t>
  </si>
  <si>
    <t>1343</t>
  </si>
  <si>
    <t>příjem - poplatek z ubytovací kapacity</t>
  </si>
  <si>
    <t>1345</t>
  </si>
  <si>
    <t>příjem - poplatek VHP</t>
  </si>
  <si>
    <t>1347</t>
  </si>
  <si>
    <t>příjem - odvod loterií a podobných her</t>
  </si>
  <si>
    <t>1351</t>
  </si>
  <si>
    <t>příjem - odvod z výherních hracích přístrojů</t>
  </si>
  <si>
    <t>1355</t>
  </si>
  <si>
    <t>Daň z nemovitostí</t>
  </si>
  <si>
    <t>1511</t>
  </si>
  <si>
    <t>FO - příjem</t>
  </si>
  <si>
    <t>2112</t>
  </si>
  <si>
    <t>příjem - prodej zboží</t>
  </si>
  <si>
    <t>Příjmy a výdaje z fin. operací - příjmy</t>
  </si>
  <si>
    <t>006310</t>
  </si>
  <si>
    <t>2141</t>
  </si>
  <si>
    <t>úroky z BÚ</t>
  </si>
  <si>
    <t>Celkem za ORJ 0900</t>
  </si>
  <si>
    <t>1000</t>
  </si>
  <si>
    <t>OI - příjmy</t>
  </si>
  <si>
    <t>Příjmy z poskytování služeb - smlouvy na úložiště</t>
  </si>
  <si>
    <t>Celkem za ORJ 1000</t>
  </si>
  <si>
    <t>1100</t>
  </si>
  <si>
    <t>OISM - příjmy</t>
  </si>
  <si>
    <t>VaK - příjmy</t>
  </si>
  <si>
    <t>002310</t>
  </si>
  <si>
    <t>Příjmy z poskytování služeb a výrobků - vodné + st</t>
  </si>
  <si>
    <t>ČOV - příjmy</t>
  </si>
  <si>
    <t>002321</t>
  </si>
  <si>
    <t>3122</t>
  </si>
  <si>
    <t>ČOV - plánovací smlouvy (příspěvky na infrastruktu</t>
  </si>
  <si>
    <t>Byty - příjmy</t>
  </si>
  <si>
    <t>003612</t>
  </si>
  <si>
    <t>Příjmy z poskytování služeb</t>
  </si>
  <si>
    <t>2132</t>
  </si>
  <si>
    <t>příjmy z pronájmu ost. nemovitostí</t>
  </si>
  <si>
    <t>Nebyty - příjmy</t>
  </si>
  <si>
    <t>003613</t>
  </si>
  <si>
    <t>2131</t>
  </si>
  <si>
    <t>příjmy z pronájmu pozemků</t>
  </si>
  <si>
    <t>Příjmy z pronájmu ost. nemovitostí</t>
  </si>
  <si>
    <t>Územní rozvoj - příjmy</t>
  </si>
  <si>
    <t>003636</t>
  </si>
  <si>
    <t>2119</t>
  </si>
  <si>
    <t>Územní rozvoj - příjmy z věcných břemen</t>
  </si>
  <si>
    <t>3111</t>
  </si>
  <si>
    <t>Příjmy z prodeje pozemků</t>
  </si>
  <si>
    <t>Celkem za ORJ 1100</t>
  </si>
  <si>
    <t>1200</t>
  </si>
  <si>
    <t>Pohřebnictví - dotace</t>
  </si>
  <si>
    <t>4122</t>
  </si>
  <si>
    <t>dotace na revitalizaci hřbitova</t>
  </si>
  <si>
    <t>Chodníky OTS - dotace</t>
  </si>
  <si>
    <t>4216</t>
  </si>
  <si>
    <t>čisticí stroj</t>
  </si>
  <si>
    <t>Pohřebnictví - příjmy</t>
  </si>
  <si>
    <t>003632</t>
  </si>
  <si>
    <t>OTS - příjmy</t>
  </si>
  <si>
    <t>003639</t>
  </si>
  <si>
    <t>příjmy z poskytování služeb</t>
  </si>
  <si>
    <t>Odpady (kontejnery SKO a BIO) - příjmy</t>
  </si>
  <si>
    <t>003723</t>
  </si>
  <si>
    <t>Využívání odpadů - příjmy</t>
  </si>
  <si>
    <t>003725</t>
  </si>
  <si>
    <t>Přijaté nekapitálové příspěvky a náhrady - EKOKOM,</t>
  </si>
  <si>
    <t>Celkem za ORJ 1200</t>
  </si>
  <si>
    <t>1400</t>
  </si>
  <si>
    <t>Pečovatelská služba - příjmy</t>
  </si>
  <si>
    <t>004351</t>
  </si>
  <si>
    <t>Příjmy z prodeje zboží - obědy</t>
  </si>
  <si>
    <t>DPS - příjmy</t>
  </si>
  <si>
    <t>004357</t>
  </si>
  <si>
    <t>Příjmy z pronájmu</t>
  </si>
  <si>
    <t>Vyúčtování služeb</t>
  </si>
  <si>
    <t>Celkem za ORJ 1400</t>
  </si>
  <si>
    <t>1500</t>
  </si>
  <si>
    <t>OSÚ - příjmy</t>
  </si>
  <si>
    <t>přijaté sankční platby</t>
  </si>
  <si>
    <t>Celkem za ORJ 1500</t>
  </si>
  <si>
    <t>2000</t>
  </si>
  <si>
    <t>MP - příjmy</t>
  </si>
  <si>
    <t>005311</t>
  </si>
  <si>
    <t>příjmy z poskytování služeb - VS</t>
  </si>
  <si>
    <t>Celkem za ORJ 2000</t>
  </si>
  <si>
    <t>Celkem</t>
  </si>
  <si>
    <t>Místní správa - ostatní - provozní výdaje</t>
  </si>
  <si>
    <t>5139</t>
  </si>
  <si>
    <t>6171000000001</t>
  </si>
  <si>
    <t>materiál</t>
  </si>
  <si>
    <t>5151</t>
  </si>
  <si>
    <t>voda</t>
  </si>
  <si>
    <t>5153</t>
  </si>
  <si>
    <t>plyn</t>
  </si>
  <si>
    <t>5154</t>
  </si>
  <si>
    <t>elektrická energie</t>
  </si>
  <si>
    <t>5161</t>
  </si>
  <si>
    <t>služby pošt</t>
  </si>
  <si>
    <t>5162</t>
  </si>
  <si>
    <t>telekomunikace - pevné linky</t>
  </si>
  <si>
    <t>5166</t>
  </si>
  <si>
    <t>konzultační a právní služby, revize</t>
  </si>
  <si>
    <t>5169</t>
  </si>
  <si>
    <t>nákup ostatních služeb - MPSV</t>
  </si>
  <si>
    <t>5171</t>
  </si>
  <si>
    <t>opravy a udržování - servis budov</t>
  </si>
  <si>
    <t>5175</t>
  </si>
  <si>
    <t>odvod za porušení povinnosti zaměstnávat zdravotně</t>
  </si>
  <si>
    <t>5229</t>
  </si>
  <si>
    <t>5499</t>
  </si>
  <si>
    <t>sociální fond</t>
  </si>
  <si>
    <t>5901</t>
  </si>
  <si>
    <t>nespecifikovaná rezerva neinvestiční</t>
  </si>
  <si>
    <t>Místní správa - všeobecná - investiční výdaje</t>
  </si>
  <si>
    <t>6121</t>
  </si>
  <si>
    <t>6171000000002</t>
  </si>
  <si>
    <t>PD pro přestavbu vily Tišnovských</t>
  </si>
  <si>
    <t>Krizová rezerva</t>
  </si>
  <si>
    <t>005299</t>
  </si>
  <si>
    <t>5131</t>
  </si>
  <si>
    <t>5299000000001</t>
  </si>
  <si>
    <t>Potraviny</t>
  </si>
  <si>
    <t>5132</t>
  </si>
  <si>
    <t>Ochranné pomůcky</t>
  </si>
  <si>
    <t>Materiál</t>
  </si>
  <si>
    <t>Pohoštění</t>
  </si>
  <si>
    <t>Hasiči - provozní výdaje</t>
  </si>
  <si>
    <t>005512</t>
  </si>
  <si>
    <t>5021</t>
  </si>
  <si>
    <t>5512000000001</t>
  </si>
  <si>
    <t>OON - dohody (správce hasičárny)</t>
  </si>
  <si>
    <t>5031</t>
  </si>
  <si>
    <t>Pojistné na soc. zabezpečení</t>
  </si>
  <si>
    <t>5032</t>
  </si>
  <si>
    <t>Pojistné na zdrav. pojištění</t>
  </si>
  <si>
    <t>ochranné pomůcky</t>
  </si>
  <si>
    <t>5134</t>
  </si>
  <si>
    <t>prádlo, oděv, obuv (výstroj)</t>
  </si>
  <si>
    <t>5137</t>
  </si>
  <si>
    <t>DDHM</t>
  </si>
  <si>
    <t>nákup materiálu</t>
  </si>
  <si>
    <t>Plyn</t>
  </si>
  <si>
    <t>5155</t>
  </si>
  <si>
    <t>pevná paliva</t>
  </si>
  <si>
    <t>5156</t>
  </si>
  <si>
    <t>PHM</t>
  </si>
  <si>
    <t>služby telekomunikací</t>
  </si>
  <si>
    <t>5167</t>
  </si>
  <si>
    <t>Školení</t>
  </si>
  <si>
    <t>nákup ostatních služeb</t>
  </si>
  <si>
    <t>opravy a udržování</t>
  </si>
  <si>
    <t>5178</t>
  </si>
  <si>
    <t>nájemné za nájem s právem koupě (leasing)</t>
  </si>
  <si>
    <t>Hasiči - investiční výdaje</t>
  </si>
  <si>
    <t>5512000000002</t>
  </si>
  <si>
    <t>budovy, haly, stavby</t>
  </si>
  <si>
    <t>Zastupitelé - provozní výdaje</t>
  </si>
  <si>
    <t>006112</t>
  </si>
  <si>
    <t>6112000000001</t>
  </si>
  <si>
    <t>ostatní osobní výdaje - odměny nečlenům zastupitel</t>
  </si>
  <si>
    <t>5023</t>
  </si>
  <si>
    <t>odměny členům zastupitelstva</t>
  </si>
  <si>
    <t>povinné pojistné - sociální zabezpečení</t>
  </si>
  <si>
    <t>povinné pojistné - zdravotní pojištění</t>
  </si>
  <si>
    <t>5136</t>
  </si>
  <si>
    <t>knihy, tisk</t>
  </si>
  <si>
    <t>služby školení</t>
  </si>
  <si>
    <t>5173</t>
  </si>
  <si>
    <t>cestovné</t>
  </si>
  <si>
    <t>pohoštění</t>
  </si>
  <si>
    <t>5176</t>
  </si>
  <si>
    <t>poplatky za konference</t>
  </si>
  <si>
    <t>5194</t>
  </si>
  <si>
    <t>věcné dary</t>
  </si>
  <si>
    <t>5222</t>
  </si>
  <si>
    <t>neinvestiční dotace občanským sdružením</t>
  </si>
  <si>
    <t>OP LZZ - provozní výdaje</t>
  </si>
  <si>
    <t>5011</t>
  </si>
  <si>
    <t>0000000000898</t>
  </si>
  <si>
    <t>platy - 15%</t>
  </si>
  <si>
    <t>platy - 85%</t>
  </si>
  <si>
    <t>OVV - provozní výdaje</t>
  </si>
  <si>
    <t>6171010000001</t>
  </si>
  <si>
    <t>Ostatní osobní výdaje - 15%</t>
  </si>
  <si>
    <t>Ostatní osobní výdaje - 85%</t>
  </si>
  <si>
    <t>ostatní osobní výdaje - dohody</t>
  </si>
  <si>
    <t>pojistné na soc. zabezpečení - 15%</t>
  </si>
  <si>
    <t>pojistné na soc. zabezpečení - 85%</t>
  </si>
  <si>
    <t>pojistné na zdrav. pojištění - 15%</t>
  </si>
  <si>
    <t>pojistné na zdrav. pojištění - 85%</t>
  </si>
  <si>
    <t>konzultační a právní služby, revize - znalecké pos</t>
  </si>
  <si>
    <t>školení - 15%</t>
  </si>
  <si>
    <t>školení - 85%</t>
  </si>
  <si>
    <t>ostatní služby - čištění a tepování, inzerce atd.</t>
  </si>
  <si>
    <t>opravy, údržba - malování, oprava spisoven</t>
  </si>
  <si>
    <t>OD - provozní výdaje</t>
  </si>
  <si>
    <t>6171020000001</t>
  </si>
  <si>
    <t>pojistné na soc. zabezpečení</t>
  </si>
  <si>
    <t>pojistné na zdrav. pojištění</t>
  </si>
  <si>
    <t>Telekomunikace</t>
  </si>
  <si>
    <t>5164</t>
  </si>
  <si>
    <t>nájemné Horoměřice</t>
  </si>
  <si>
    <t>školení</t>
  </si>
  <si>
    <t>OD - provozní výdaje - ZOZ a VVÚ</t>
  </si>
  <si>
    <t>6171020000009</t>
  </si>
  <si>
    <t>OD - provozní výdaje - ZOZ a VVÚ (8x ZOZ odd. regi</t>
  </si>
  <si>
    <t>5362</t>
  </si>
  <si>
    <t>dálniční známka</t>
  </si>
  <si>
    <t>OSVZ - provozní výdaje</t>
  </si>
  <si>
    <t>6171030000001</t>
  </si>
  <si>
    <t>platy zaměstnanců</t>
  </si>
  <si>
    <t>OON - dohody</t>
  </si>
  <si>
    <t>materiál (vč. receptů na opiáty)</t>
  </si>
  <si>
    <t>telekomunikace</t>
  </si>
  <si>
    <t>OSVZ - provozní výdaje - ZOZ a VVÚ</t>
  </si>
  <si>
    <t>6171030000009</t>
  </si>
  <si>
    <t>OSPOD - provozní výdaje</t>
  </si>
  <si>
    <t>6171032000001</t>
  </si>
  <si>
    <t>poštovné</t>
  </si>
  <si>
    <t>OSPOD - provozní výdaje - ZOZ a VVÚ</t>
  </si>
  <si>
    <t>6171032000009</t>
  </si>
  <si>
    <t>0400</t>
  </si>
  <si>
    <t>Územní plán - investiční výdaje</t>
  </si>
  <si>
    <t>003635</t>
  </si>
  <si>
    <t>6119</t>
  </si>
  <si>
    <t>3635000000002</t>
  </si>
  <si>
    <t>Územní plán</t>
  </si>
  <si>
    <t>OÚP - provozní výdaje</t>
  </si>
  <si>
    <t>6171040000001</t>
  </si>
  <si>
    <t>konzultační a právní služby</t>
  </si>
  <si>
    <t>Celkem za ORJ 0400</t>
  </si>
  <si>
    <t>OŽÚ - provozní výdaje</t>
  </si>
  <si>
    <t>6171050000001</t>
  </si>
  <si>
    <t>pojistné na soc. pojištění</t>
  </si>
  <si>
    <t>OŽÚ - provozní výdaje - ZOZ a VVÚ</t>
  </si>
  <si>
    <t>6171050000009</t>
  </si>
  <si>
    <t>OŽP - provozní výdaje</t>
  </si>
  <si>
    <t>6171060000001</t>
  </si>
  <si>
    <t>DDHM - nábytek (2 kanceláře)</t>
  </si>
  <si>
    <t>OŽP - provozní výdaje - ZOZ a VVÚ</t>
  </si>
  <si>
    <t>6171060000009</t>
  </si>
  <si>
    <t>opravy a udržování - auto, malování chodby</t>
  </si>
  <si>
    <t>ekologická rezerva</t>
  </si>
  <si>
    <t>SO - provozní výdaje</t>
  </si>
  <si>
    <t>6171070000001</t>
  </si>
  <si>
    <t>SO - provozní výdaje - ZOZ a VVÚ</t>
  </si>
  <si>
    <t>6171070000009</t>
  </si>
  <si>
    <t>Knihovna - provozní výdaje</t>
  </si>
  <si>
    <t>3314000000001</t>
  </si>
  <si>
    <t>Ostatní osobní výdaje - dohody</t>
  </si>
  <si>
    <t>DDHM - nábytek</t>
  </si>
  <si>
    <t>5138</t>
  </si>
  <si>
    <t>nákup zboží k prodeji</t>
  </si>
  <si>
    <t>elektřina</t>
  </si>
  <si>
    <t>meziknihovní výpůjčky</t>
  </si>
  <si>
    <t>opravy a udržování - kamna, podlaha, malování</t>
  </si>
  <si>
    <t>5494</t>
  </si>
  <si>
    <t>odměny v soutěžích</t>
  </si>
  <si>
    <t>Památky - provozní výdaje</t>
  </si>
  <si>
    <t>003326</t>
  </si>
  <si>
    <t>5909</t>
  </si>
  <si>
    <t>3326000000001</t>
  </si>
  <si>
    <t>alarm kostela (smlouva)</t>
  </si>
  <si>
    <t>IL - provozní výdaje - telekomunikace</t>
  </si>
  <si>
    <t>3349000000001</t>
  </si>
  <si>
    <t>IL - provozní výdaje - nákup ostatních služeb</t>
  </si>
  <si>
    <t>Nákup ostatních služeb - tisk, redaktorka, roznos,</t>
  </si>
  <si>
    <t>Kultura - provozní výdaje</t>
  </si>
  <si>
    <t>3392000000001</t>
  </si>
  <si>
    <t>nájemné kostel, cb atd.</t>
  </si>
  <si>
    <t>Ostatní záležitosti kultury - provozní výdaje</t>
  </si>
  <si>
    <t>3399000000001</t>
  </si>
  <si>
    <t>ON - dohody (Dobiaš)</t>
  </si>
  <si>
    <t>nájemné</t>
  </si>
  <si>
    <t>městské akce (pouť, máje, masopust, partnerství, M</t>
  </si>
  <si>
    <t>pohoštění (JF, Orchestr themar, spolky...)</t>
  </si>
  <si>
    <t>5212</t>
  </si>
  <si>
    <t>granty v kultuře</t>
  </si>
  <si>
    <t>průběžné granty</t>
  </si>
  <si>
    <t>5492</t>
  </si>
  <si>
    <t>Mládež - provozní výdaje - granty</t>
  </si>
  <si>
    <t>003421</t>
  </si>
  <si>
    <t>3421000000001</t>
  </si>
  <si>
    <t>granty po mládež</t>
  </si>
  <si>
    <t>OŠKCR - provozní výdaje - platy</t>
  </si>
  <si>
    <t>6171080000001</t>
  </si>
  <si>
    <t>OŠKCR - provozní výdaje - sociální zabezpečení</t>
  </si>
  <si>
    <t>pojistné na sociální zabezpečení</t>
  </si>
  <si>
    <t>OŠKCR - provozní výdaje - zdravotní pojištění</t>
  </si>
  <si>
    <t>zdravotní pojištění</t>
  </si>
  <si>
    <t>OŠKCR - provozní výdaje - knihy, tisk</t>
  </si>
  <si>
    <t>OŠKCR - provozní výdaje - DDHM</t>
  </si>
  <si>
    <t>DDHM - foťák (Fábry), židle</t>
  </si>
  <si>
    <t>OŠKCR - provozní výdaje - materiál</t>
  </si>
  <si>
    <t>OŠKCR - provozní výdaje - PHM</t>
  </si>
  <si>
    <t>OŠKCR - provozní výdaje - telekomunikace</t>
  </si>
  <si>
    <t>OŠKCR - provozní výdaje - školení</t>
  </si>
  <si>
    <t>OŠKCR - provozní výdaje - ZOZ a VVÚ</t>
  </si>
  <si>
    <t>6171080000009</t>
  </si>
  <si>
    <t>OŠKCR - provozní výdaje - ostatní služby</t>
  </si>
  <si>
    <t>OŠKCR - provozní výdaje - opravy a udržování</t>
  </si>
  <si>
    <t>OŠKCR - provozní výdaje - cestovné</t>
  </si>
  <si>
    <t>OŠKCR - provozní výdaje - pohoštění</t>
  </si>
  <si>
    <t>Splácení úvěrů</t>
  </si>
  <si>
    <t>8124</t>
  </si>
  <si>
    <t>Splácení úvěru na VT I. etapa</t>
  </si>
  <si>
    <t>MŠ Vápenice - provozní příspěvek</t>
  </si>
  <si>
    <t>003111</t>
  </si>
  <si>
    <t>5331</t>
  </si>
  <si>
    <t>3111300000001</t>
  </si>
  <si>
    <t>MŠ Vápenice - provozní příspěvek - dovybavení</t>
  </si>
  <si>
    <t>MŠ Karlická - provozní příspěvek</t>
  </si>
  <si>
    <t>3111301000001</t>
  </si>
  <si>
    <t>MŠ Karlická - provozní příspěvek "na odpisy"</t>
  </si>
  <si>
    <t>MŠ Topolská - provozní příspěvek</t>
  </si>
  <si>
    <t>3111302000001</t>
  </si>
  <si>
    <t>MŠ Topolská - provozní příspěvek "na odpisy"</t>
  </si>
  <si>
    <t>MŠ Topolská - rezerva na platy</t>
  </si>
  <si>
    <t>ZŠ - provozní příspěvek</t>
  </si>
  <si>
    <t>003113</t>
  </si>
  <si>
    <t>3113000000001</t>
  </si>
  <si>
    <t>ZŠ - provozní příspěvek "na odpisy"</t>
  </si>
  <si>
    <t>ZUŠ - provozní příspěvek</t>
  </si>
  <si>
    <t>003231</t>
  </si>
  <si>
    <t>3231000000001</t>
  </si>
  <si>
    <t>ZUŠ - provozní příspěvek "na odpisy"</t>
  </si>
  <si>
    <t>FO - provozní výdaje</t>
  </si>
  <si>
    <t>6171090000001</t>
  </si>
  <si>
    <t>Knihy, tisk</t>
  </si>
  <si>
    <t>Drobný hmotný dlouhodobý majetek</t>
  </si>
  <si>
    <t>FO - provozní výdaje - ZOZ a VVÚ</t>
  </si>
  <si>
    <t>6171090000009</t>
  </si>
  <si>
    <t>Nákup ostatních služeb</t>
  </si>
  <si>
    <t>Opravy a údržba</t>
  </si>
  <si>
    <t>Cestovné</t>
  </si>
  <si>
    <t>Konference</t>
  </si>
  <si>
    <t>Příjmy a výdaje z fin. operací - provozní výdaje</t>
  </si>
  <si>
    <t>5141</t>
  </si>
  <si>
    <t>6310000000001</t>
  </si>
  <si>
    <t>úroky vlastní</t>
  </si>
  <si>
    <t>5163</t>
  </si>
  <si>
    <t>bankovní poplatky</t>
  </si>
  <si>
    <t>Ostatní finanční operace - provozní výdaje</t>
  </si>
  <si>
    <t>006399</t>
  </si>
  <si>
    <t>6399000000001</t>
  </si>
  <si>
    <t>Odvod DPH finančnímu úřadu</t>
  </si>
  <si>
    <t>Rezerva provozní</t>
  </si>
  <si>
    <t>006409</t>
  </si>
  <si>
    <t>6409000000001</t>
  </si>
  <si>
    <t>Rezerva RUD</t>
  </si>
  <si>
    <t>Rezerva všeobecná</t>
  </si>
  <si>
    <t>Rezerva na rozhodnutí rady</t>
  </si>
  <si>
    <t>Rezerva investiční</t>
  </si>
  <si>
    <t>6901</t>
  </si>
  <si>
    <t>6409000000002</t>
  </si>
  <si>
    <t>Rezerva - zůstatek z navýšení daně z nemovitostí</t>
  </si>
  <si>
    <t>Rezerva investiční - 2219 - cyklostezky</t>
  </si>
  <si>
    <t>OI - provozní výdaje</t>
  </si>
  <si>
    <t>6171100000001</t>
  </si>
  <si>
    <t>Opravy a udržování</t>
  </si>
  <si>
    <t>5172</t>
  </si>
  <si>
    <t>Programové vybavení</t>
  </si>
  <si>
    <t>OI - investiční výdaje</t>
  </si>
  <si>
    <t>6125</t>
  </si>
  <si>
    <t>6171100000002</t>
  </si>
  <si>
    <t>Výpočetní technika</t>
  </si>
  <si>
    <t>Silnice - provozní výdaje</t>
  </si>
  <si>
    <t>002212</t>
  </si>
  <si>
    <t>2212000000001</t>
  </si>
  <si>
    <t>ostatní služby</t>
  </si>
  <si>
    <t>opravy a údržba</t>
  </si>
  <si>
    <t>Silnice - investiční výdaje</t>
  </si>
  <si>
    <t>2212000000002</t>
  </si>
  <si>
    <t>Budovy, haly, stavby</t>
  </si>
  <si>
    <t>Chodníky - provozní výdaje</t>
  </si>
  <si>
    <t>002219</t>
  </si>
  <si>
    <t>2219000000001</t>
  </si>
  <si>
    <t>Chodníky - investiční výdaje</t>
  </si>
  <si>
    <t>2219000000002</t>
  </si>
  <si>
    <t>VaK - provozní výdaje</t>
  </si>
  <si>
    <t>2310000000001</t>
  </si>
  <si>
    <t>sociální poj.</t>
  </si>
  <si>
    <t>zdravotní poj.</t>
  </si>
  <si>
    <t>prádlo, oděv, obuv</t>
  </si>
  <si>
    <t>DHM</t>
  </si>
  <si>
    <t>platby daní a poplatků</t>
  </si>
  <si>
    <t>ostatní výdaje - poplatky Radotín</t>
  </si>
  <si>
    <t>VaK - investiční výdaje</t>
  </si>
  <si>
    <t>2310000000002</t>
  </si>
  <si>
    <t>6122</t>
  </si>
  <si>
    <t>stroje, přístroje, zařízení</t>
  </si>
  <si>
    <t>ČOV - provozní výdaje</t>
  </si>
  <si>
    <t>2321000000001</t>
  </si>
  <si>
    <t>nákup nateriálu</t>
  </si>
  <si>
    <t>PHM - nemají auto (účtují společně s VaK)?</t>
  </si>
  <si>
    <t>ČOV - investiční výdaje</t>
  </si>
  <si>
    <t>2321000000002</t>
  </si>
  <si>
    <t>Byty - provozní výdaje</t>
  </si>
  <si>
    <t>3612000000001</t>
  </si>
  <si>
    <t>prádlo oděv</t>
  </si>
  <si>
    <t>opravy, údržba</t>
  </si>
  <si>
    <t>Nebyty - provozní výdaje</t>
  </si>
  <si>
    <t>3613000000001</t>
  </si>
  <si>
    <t>VO - provozní výdaje</t>
  </si>
  <si>
    <t>003631</t>
  </si>
  <si>
    <t>3631000000001</t>
  </si>
  <si>
    <t>VO - investiční výdaje</t>
  </si>
  <si>
    <t>3631000000002</t>
  </si>
  <si>
    <t>Územní rozvoj - provozní výdaje</t>
  </si>
  <si>
    <t>3636000000001</t>
  </si>
  <si>
    <t>Územní rozvoj - investiční výdaje</t>
  </si>
  <si>
    <t>6130</t>
  </si>
  <si>
    <t>3636000000002</t>
  </si>
  <si>
    <t>nákup pozemků</t>
  </si>
  <si>
    <t>OISM - provozní výdaje</t>
  </si>
  <si>
    <t>6171110000001</t>
  </si>
  <si>
    <t>5361</t>
  </si>
  <si>
    <t>nákup kolků</t>
  </si>
  <si>
    <t>Pojištění - provozní výdaje</t>
  </si>
  <si>
    <t>006320</t>
  </si>
  <si>
    <t>5038</t>
  </si>
  <si>
    <t>6320000000001</t>
  </si>
  <si>
    <t>povinné pojištění placené zaměstnavatelem</t>
  </si>
  <si>
    <t>Silnice - provozní výdaje OTS</t>
  </si>
  <si>
    <t>2212000000003</t>
  </si>
  <si>
    <t>leasing - přívěs Fliegl</t>
  </si>
  <si>
    <t>Chodníky - provozní výdaje OTS</t>
  </si>
  <si>
    <t>2219000000003</t>
  </si>
  <si>
    <t>oprava a udržování</t>
  </si>
  <si>
    <t>leasing traktůrku Vega</t>
  </si>
  <si>
    <t>Chodníky - investiční výdaje OTS</t>
  </si>
  <si>
    <t>2219000000004</t>
  </si>
  <si>
    <t>Značky - provozní výdaje</t>
  </si>
  <si>
    <t>002229</t>
  </si>
  <si>
    <t>2229000000001</t>
  </si>
  <si>
    <t>Hřiště - provozní výdaje</t>
  </si>
  <si>
    <t>003412</t>
  </si>
  <si>
    <t>3412000000001</t>
  </si>
  <si>
    <t>Drobný hmotný majetek</t>
  </si>
  <si>
    <t>Pohřebnictví - provozní výdaje</t>
  </si>
  <si>
    <t>3632000000001</t>
  </si>
  <si>
    <t>OON - dohody (hrobníci)</t>
  </si>
  <si>
    <t>nájem pozemku (hřbitov Černošice)</t>
  </si>
  <si>
    <t>OTS - provozní výdaje</t>
  </si>
  <si>
    <t>3639000000001</t>
  </si>
  <si>
    <t>sběrný koš na sekačku, radlice</t>
  </si>
  <si>
    <t>konzult., porad. a právní služby</t>
  </si>
  <si>
    <t>OTS - provozní výdaje - ZOZ a VVÚ</t>
  </si>
  <si>
    <t>3639000000009</t>
  </si>
  <si>
    <t>Sběr a svoz KO - provozní výdaje</t>
  </si>
  <si>
    <t>003722</t>
  </si>
  <si>
    <t>3722000000001</t>
  </si>
  <si>
    <t>knihy, tisk - časopis Odpady</t>
  </si>
  <si>
    <t>svoz KO - Rumpold</t>
  </si>
  <si>
    <t>Odpady (kontejnery SKO a BIO) - povozní výdaje</t>
  </si>
  <si>
    <t>3723000000001</t>
  </si>
  <si>
    <t>Zeleň - provozní výdaje</t>
  </si>
  <si>
    <t>003745</t>
  </si>
  <si>
    <t>3745000000001</t>
  </si>
  <si>
    <t>1300</t>
  </si>
  <si>
    <t>ÚIA - provozní výdaje</t>
  </si>
  <si>
    <t>6171130000001</t>
  </si>
  <si>
    <t>Celkem za ORJ 1300</t>
  </si>
  <si>
    <t>Pečovatelská služba - provozní výdaje</t>
  </si>
  <si>
    <t>4351000000001</t>
  </si>
  <si>
    <t>Pojistné na sociální zabezpečení</t>
  </si>
  <si>
    <t>Pojistné na zdravotní pojištění</t>
  </si>
  <si>
    <t>Nákup zboží k prodeji - obědy</t>
  </si>
  <si>
    <t>Nákup materiálu</t>
  </si>
  <si>
    <t>Voda</t>
  </si>
  <si>
    <t>Elektřina</t>
  </si>
  <si>
    <t>Dálniční známky (2x)</t>
  </si>
  <si>
    <t>DPS - provozní výdaje</t>
  </si>
  <si>
    <t>4357000000001</t>
  </si>
  <si>
    <t>Pojistní na sociální zabezpečení</t>
  </si>
  <si>
    <t>Konzultační a právní služby</t>
  </si>
  <si>
    <t>DPS - investiční výdaje</t>
  </si>
  <si>
    <t>4357000000002</t>
  </si>
  <si>
    <t>Budovy, stavby - odizolování kotelny</t>
  </si>
  <si>
    <t>Péče o seniory</t>
  </si>
  <si>
    <t>004379</t>
  </si>
  <si>
    <t>4379000000001</t>
  </si>
  <si>
    <t>Aktivity pro seniory</t>
  </si>
  <si>
    <t>Pohoštění na akce pořádané pro klienty DPS</t>
  </si>
  <si>
    <t>Věcné dary</t>
  </si>
  <si>
    <t>Neinvestiční dotace očanským sdružením - granty</t>
  </si>
  <si>
    <t>5223</t>
  </si>
  <si>
    <t>Neivestiční dotace církvím a náb. společnostem - g</t>
  </si>
  <si>
    <t>Dopravní obslužnost - provozní výdaje</t>
  </si>
  <si>
    <t>002221</t>
  </si>
  <si>
    <t>2221000000001</t>
  </si>
  <si>
    <t>údržba zastávek</t>
  </si>
  <si>
    <t>5193</t>
  </si>
  <si>
    <t>Výdaje na dopravní obslužnost</t>
  </si>
  <si>
    <t>OSÚ - provozní výdaje</t>
  </si>
  <si>
    <t>6171150000001</t>
  </si>
  <si>
    <t>OSÚ - provozní výdaje - ZOZ a VVÚ</t>
  </si>
  <si>
    <t>6171150000009</t>
  </si>
  <si>
    <t>účastnické poplatky za konference</t>
  </si>
  <si>
    <t>MP - provozní výdaje</t>
  </si>
  <si>
    <t>5311000000001</t>
  </si>
  <si>
    <t>prádlo oděv obuv</t>
  </si>
  <si>
    <t>nákup služeb (psi)</t>
  </si>
  <si>
    <t>leasing</t>
  </si>
  <si>
    <t>kolky</t>
  </si>
  <si>
    <t>MP - investiční výdaje</t>
  </si>
  <si>
    <t>výpočetní technika</t>
  </si>
  <si>
    <t>k 31.10.2012</t>
  </si>
  <si>
    <t>RS</t>
  </si>
  <si>
    <t>RU</t>
  </si>
  <si>
    <t>Čerpání</t>
  </si>
  <si>
    <t>6349</t>
  </si>
  <si>
    <t>Investiční transfery veř. rozpočtům - cyklodoprava</t>
  </si>
  <si>
    <t>2221000000002</t>
  </si>
  <si>
    <t>Výstavba zastávek</t>
  </si>
  <si>
    <t>Dary obyvatelstvu</t>
  </si>
  <si>
    <t>3111300000002</t>
  </si>
  <si>
    <t>MŠ Vápenice - výstavba</t>
  </si>
  <si>
    <t>studie tělocvičny</t>
  </si>
  <si>
    <t>inzerát na VŘ ředitele</t>
  </si>
  <si>
    <t>3113000000002</t>
  </si>
  <si>
    <t>PD na zateplení Komenského a sport. halu</t>
  </si>
  <si>
    <t>5240</t>
  </si>
  <si>
    <t>Festiválek ZUŠ</t>
  </si>
  <si>
    <t>OON - korektorka</t>
  </si>
  <si>
    <t>5192</t>
  </si>
  <si>
    <t>neinvestiční příspěvky</t>
  </si>
  <si>
    <t>5219</t>
  </si>
  <si>
    <t>neinvest. transfery podnikatelům - dary</t>
  </si>
  <si>
    <t>neinvest. transfery církvím a náb. společnostem</t>
  </si>
  <si>
    <t>neivest. transfery obyvatelstvu - vítání občánků</t>
  </si>
  <si>
    <t>3412000000002</t>
  </si>
  <si>
    <t>přístroje a zařízení - hřiště DPS s Klatovská</t>
  </si>
  <si>
    <t>nákup ostatních služeb (revitalizace hřbitova)</t>
  </si>
  <si>
    <t>sociální pohřeb</t>
  </si>
  <si>
    <t>neinvest. příspěvky a náhrady - soudní poplatky</t>
  </si>
  <si>
    <t>platby daní a poplatků - daň z převodu nemovitostí</t>
  </si>
  <si>
    <t>5329</t>
  </si>
  <si>
    <t>členské příspěvky - SMO, SMS</t>
  </si>
  <si>
    <t>členské příspěvky - RDB</t>
  </si>
  <si>
    <t>členské příspěvky - sdružení tajemníků</t>
  </si>
  <si>
    <t>vratka jistiny Prague Hills</t>
  </si>
  <si>
    <t>programové vybavení</t>
  </si>
  <si>
    <t>3745000000002</t>
  </si>
  <si>
    <t>stroje, přístroje a zařízení</t>
  </si>
  <si>
    <t>stroje, přístroje a zařízení - žací stroj</t>
  </si>
  <si>
    <t>6123</t>
  </si>
  <si>
    <t>4351000000002</t>
  </si>
  <si>
    <t>auto pro pečovatelku</t>
  </si>
  <si>
    <t>dálniční známky</t>
  </si>
  <si>
    <t>5311000000002</t>
  </si>
  <si>
    <t>dopravní prostředky</t>
  </si>
  <si>
    <t>5512000000003</t>
  </si>
  <si>
    <t>Plyn - hasičárna Černošice</t>
  </si>
  <si>
    <t>elektrická energie - hasičárna Černošice</t>
  </si>
  <si>
    <t>voda - hasičárna Černošice</t>
  </si>
  <si>
    <t>pojištění</t>
  </si>
  <si>
    <t>dýchací přístroje</t>
  </si>
  <si>
    <t>pojistná plnění</t>
  </si>
  <si>
    <t>Kompenzační příspěvek</t>
  </si>
  <si>
    <t>MŠ Vápenice - provozní příspěvek "na odpisy"</t>
  </si>
  <si>
    <t>DDHM - 15%</t>
  </si>
  <si>
    <t>DDHM - 85%</t>
  </si>
  <si>
    <t>materiál - 15%</t>
  </si>
  <si>
    <t>materiál - 85%</t>
  </si>
  <si>
    <t>nákup ostatních služeb - 15%</t>
  </si>
  <si>
    <t>nákup ostatních služeb - 85%</t>
  </si>
  <si>
    <t>konzult. a poradenské služby - 15%</t>
  </si>
  <si>
    <t>konzult. a poradenské služby - 85%</t>
  </si>
  <si>
    <t>programové vybavení - 15%</t>
  </si>
  <si>
    <t>programové vybavení - 85%</t>
  </si>
  <si>
    <t>ochranné pmůcky</t>
  </si>
  <si>
    <t>platby daní a poplatků stá. rozpočtu - dálniční známky</t>
  </si>
  <si>
    <t>0321</t>
  </si>
  <si>
    <t>6171050000002</t>
  </si>
  <si>
    <t>auto</t>
  </si>
  <si>
    <t>konzult. a právní služby - znalecké posudky</t>
  </si>
  <si>
    <t>6171060000002</t>
  </si>
  <si>
    <t>klimatizační jednotka</t>
  </si>
  <si>
    <t>6111</t>
  </si>
  <si>
    <t>dar na čistění kanalizace</t>
  </si>
  <si>
    <t>Dálniční známka</t>
  </si>
  <si>
    <t>RS 2012</t>
  </si>
  <si>
    <t>RU 2012</t>
  </si>
  <si>
    <t>Plnění 2012</t>
  </si>
  <si>
    <t>Příjmy z poskytování služeb a výrobků - fekální vozy</t>
  </si>
  <si>
    <t>investiční rezerva - 2212 - silnice (Karlická dotace)</t>
  </si>
  <si>
    <t>rozpočet "A"</t>
  </si>
  <si>
    <t>Investiční výdaje již zahrnuté v rozpočtu</t>
  </si>
  <si>
    <t>rozpočet "B"</t>
  </si>
  <si>
    <t>VaK</t>
  </si>
  <si>
    <t>z nového úvěru</t>
  </si>
  <si>
    <t>CELKEM</t>
  </si>
  <si>
    <t>§</t>
  </si>
  <si>
    <t>položka</t>
  </si>
  <si>
    <t>pozn.</t>
  </si>
  <si>
    <t>Poskytnutí služeb k zabezpečení provozu "Profil zadavatele"</t>
  </si>
  <si>
    <t>Nákup sw pro elektronické aukce</t>
  </si>
  <si>
    <t>Věcné břemeno k akci Samost. přivaděč vodovodu</t>
  </si>
  <si>
    <t>Obchodování na burze - elekřina, firma Prospeksa</t>
  </si>
  <si>
    <t>Obchodování na burze - plyn, firma Prospeksa</t>
  </si>
  <si>
    <t>Vratná jistina paní Janečkové dle plánovací smlouvy - po dokončení výstavby chodníku a bytového domu v Dobřichovické ul.</t>
  </si>
  <si>
    <t>Velký třesk II. - projektová dokumentace</t>
  </si>
  <si>
    <t>Velký třesk II. - komunikace (odhad - ještě není pd, rozpočty ani VŘ)</t>
  </si>
  <si>
    <t>Velký třesk II. - vodovody (opravy stávajících)</t>
  </si>
  <si>
    <t>Velký třesk II. - dešťová kanalizace (opravy stávající)</t>
  </si>
  <si>
    <t>TDI k akci Velký třesk II.</t>
  </si>
  <si>
    <t>AD + projektové dodatky k akci Velký třesk II.</t>
  </si>
  <si>
    <t>BOZP na akci Velký třesk II.</t>
  </si>
  <si>
    <t>Pardubická komunikace</t>
  </si>
  <si>
    <t>Pardubická dešťová kanalizace</t>
  </si>
  <si>
    <t>Pardubická vodovod</t>
  </si>
  <si>
    <t>TDI k akci Pardubická</t>
  </si>
  <si>
    <t>AD k akci Pardubická</t>
  </si>
  <si>
    <t>BOZP na akci Pardubická</t>
  </si>
  <si>
    <t>Zastávky - údržba</t>
  </si>
  <si>
    <t>Cyklodoprava</t>
  </si>
  <si>
    <t>Cyklodoprava - TDI</t>
  </si>
  <si>
    <t>Cyklodoprava - BOZP</t>
  </si>
  <si>
    <t>Cyklodoprava - AD</t>
  </si>
  <si>
    <t>Cyklodoprava - prováděcí pd</t>
  </si>
  <si>
    <t>Oprava výtluků 2013</t>
  </si>
  <si>
    <t>Oprava výtluků 2013 - TDI</t>
  </si>
  <si>
    <t>Dobudování chodníků v křižovatce Dr. Janského - K Lesíku</t>
  </si>
  <si>
    <t>Dešťová kanalizace v ul. Vrážská</t>
  </si>
  <si>
    <t>Oprava ČS Radotínská vč. nového výtlačného potrubí</t>
  </si>
  <si>
    <r>
      <t xml:space="preserve">Úprava vlastních zdrojů pitné vody </t>
    </r>
    <r>
      <rPr>
        <sz val="8"/>
        <rFont val="Arial CE"/>
        <family val="2"/>
      </rPr>
      <t>(vyčištění, čerpací zkoušky, kamerové průzkumy, vzorky -rozbory)</t>
    </r>
    <r>
      <rPr>
        <b/>
        <sz val="10"/>
        <rFont val="Arial CE"/>
        <family val="2"/>
      </rPr>
      <t xml:space="preserve"> Úprava vlastních zdrojů pitné vody </t>
    </r>
    <r>
      <rPr>
        <sz val="8"/>
        <rFont val="Arial CE"/>
        <family val="2"/>
      </rPr>
      <t>(vyčištění, čerpací zkoušky, kamerové průzkumy, vzorky -rozbory)</t>
    </r>
    <r>
      <rPr>
        <b/>
        <sz val="10"/>
        <rFont val="Arial CE"/>
        <family val="2"/>
      </rPr>
      <t xml:space="preserve"> Úprava vlastních zdrojů pitné vody </t>
    </r>
    <r>
      <rPr>
        <sz val="8"/>
        <rFont val="Arial CE"/>
        <family val="2"/>
      </rPr>
      <t>(vyčištění, čerpací zkoušky, kamerové průzkumy, vzorky -rozbory)</t>
    </r>
    <r>
      <rPr>
        <b/>
        <sz val="10"/>
        <rFont val="Arial CE"/>
        <family val="2"/>
      </rPr>
      <t xml:space="preserve"> </t>
    </r>
  </si>
  <si>
    <r>
      <t>Intenzifikace ČOV - projektová dokumentace pro sp</t>
    </r>
    <r>
      <rPr>
        <sz val="10"/>
        <rFont val="Arial CE"/>
        <family val="2"/>
      </rPr>
      <t xml:space="preserve"> - dle smlouvyIntenzifikace ČOV - projektová dokumentace pro sp - dle smlouvyIntenzifikace ČOV - projektová dokumentace pro sp - dle smlouvy</t>
    </r>
  </si>
  <si>
    <r>
      <t xml:space="preserve">Intenzifikace ČOV - část výstavby v r.2013 - podíl města </t>
    </r>
    <r>
      <rPr>
        <sz val="10"/>
        <rFont val="Arial CE"/>
        <family val="2"/>
      </rPr>
      <t>(vč.TDI, AD, BOZP)Intenzifikace ČOV - část výstavby v r.2013 - podíl města (vč.TDI, AD, BOZP)Intenzifikace ČOV - část výstavby v r.2013 - podíl města (vč.TDI, AD, BOZP)</t>
    </r>
  </si>
  <si>
    <t>Zateplení ZŠ Komenského</t>
  </si>
  <si>
    <t>z investičního fondu ZŠ</t>
  </si>
  <si>
    <t>Zateplení ZŠ Komenského - TDI</t>
  </si>
  <si>
    <t>Přístavba školní kuchyně ZŠ Mokropsy</t>
  </si>
  <si>
    <t>Přístavba školní kuchyně ZŠ Mokropsy - TDI</t>
  </si>
  <si>
    <t xml:space="preserve">Vzduchotechnika ve školní kuchyni ZŠ Mokropsy </t>
  </si>
  <si>
    <t>Vzduchotechnika ve školní kuchyni ZŠ Mokropsy - TDI + projekt</t>
  </si>
  <si>
    <t>Odhlučnění školní jídelny ZŠ Mokropsy</t>
  </si>
  <si>
    <t>Odhlučnění školní jídelny ZŠ Mokropsy - TDI</t>
  </si>
  <si>
    <t>Nový vchod a šatny v ZŠ Mokropsy</t>
  </si>
  <si>
    <t>Nový vchod a šatny v ZŠ Mokropsy - TDI</t>
  </si>
  <si>
    <t>Dovybavení dětského hřiště u ZŠ Mokropsy</t>
  </si>
  <si>
    <t>Výměna rozvodů teplé a studené vody v MŠ Karlická</t>
  </si>
  <si>
    <t>z investičního fonu MŠ</t>
  </si>
  <si>
    <t>Přístavba hasičské zbrojnice v Mokropsích</t>
  </si>
  <si>
    <t>Přístavba hasičské zbrojnice v Mokropsích - TDI</t>
  </si>
  <si>
    <t>Přístavba hasičské zbrojnice v Mokropsích - BOZP</t>
  </si>
  <si>
    <t>Přestavba vily Tišnovských na úřad - projektová dokumentace</t>
  </si>
  <si>
    <t>Výstavba VO v ul. Čapkova</t>
  </si>
  <si>
    <t>Výstavba VO v ul. Vrážská (od Dr.Janského po Riegrovu)</t>
  </si>
  <si>
    <t>Úprava VO v ul. Smetanova</t>
  </si>
  <si>
    <t>VO v ul. Karlická (Pražská-V Rybníčkách)</t>
  </si>
  <si>
    <t>VO v ul. Kladenská (Vrážská-Lidická)</t>
  </si>
  <si>
    <t>VO ul. Erbenova</t>
  </si>
  <si>
    <t>VO v ul. Jihlavská</t>
  </si>
  <si>
    <t>Dobudování VO v ul. Říční u přejezdu</t>
  </si>
  <si>
    <t>Dobudování VO při přeložkách ČEZu</t>
  </si>
  <si>
    <t>TDI při dobudování VO</t>
  </si>
  <si>
    <t>Projektová dokumentace pro VO</t>
  </si>
  <si>
    <t>Další záměry na příští období</t>
  </si>
  <si>
    <r>
      <t xml:space="preserve">Sportovní hala u ZŠ Mokropsy - podíl města </t>
    </r>
    <r>
      <rPr>
        <sz val="10"/>
        <color indexed="23"/>
        <rFont val="Arial CE"/>
        <family val="2"/>
      </rPr>
      <t>(celk. nákl. 41 054 817)Sportovní hala u ZŠ Mokropsy - podíl města (celk. nákl. 41 054 817)</t>
    </r>
  </si>
  <si>
    <t>výhled 2014 a dále</t>
  </si>
  <si>
    <t>Sportovní hala u ZŠ Mokropsy - TDI</t>
  </si>
  <si>
    <t>Sportovní hala u ZŠ Mokropsy - AD</t>
  </si>
  <si>
    <t>Sportovní hala u ZŠ Mokropsy - BOZP</t>
  </si>
  <si>
    <r>
      <t xml:space="preserve">Dostavba chodníku v ul. Dobřichovická </t>
    </r>
    <r>
      <rPr>
        <sz val="10"/>
        <color indexed="23"/>
        <rFont val="Arial CE"/>
        <family val="2"/>
      </rPr>
      <t>(mezi ul.Slunečná a V Habřinách)Dostavba chodníku v ul. Dobřichovická (mezi ul.Slunečná a V Habřinách)</t>
    </r>
  </si>
  <si>
    <t>Kamerové průzkumy kanalizace vč. příp. oprav</t>
  </si>
  <si>
    <t>Dobudování vodovodu a kanalizace v oblasti Habřiny</t>
  </si>
  <si>
    <t>Dobudování VO v ul.Fügnerova a parkoviště Karlštejnská (varianta 1)</t>
  </si>
  <si>
    <t>Sportovní ovál u ZŠ Mokropsy</t>
  </si>
  <si>
    <t>Propojení ulic Javorová a V Habřinách</t>
  </si>
  <si>
    <t>Využití pozemků veřejné vybavenosti pod ZŠ</t>
  </si>
  <si>
    <t>Rozvoj a zkvalitnění centrální části Černošic</t>
  </si>
  <si>
    <t>Revitalizace skládky</t>
  </si>
  <si>
    <t>Lávka pro pěší a cyklisty do Všenor (Horní Mokropsy)</t>
  </si>
  <si>
    <t>Stanoviště kontejnerů u ČOV</t>
  </si>
  <si>
    <t>Úprava/rozšíření vybraných kontejner.stání ve městě</t>
  </si>
  <si>
    <t>Pěší cesta (schody) mezi ul.Mokropeská a Pod Višňovkou</t>
  </si>
  <si>
    <t>Dodatečné osvětlení vybraných přechodů pro chodce</t>
  </si>
  <si>
    <t>Oprava lávky do Lipenců</t>
  </si>
  <si>
    <t>Úprava lesíku nad ZŠ Mokropsy</t>
  </si>
  <si>
    <t>Keřové bludiště (Vápenice nebo u ul. Radotínská)</t>
  </si>
  <si>
    <t>Zdravotní prořezy zeleně (např. hřbitovy)</t>
  </si>
  <si>
    <t>Zatravnění a trvalá údržba revitalizovaného pozemku u ČOV</t>
  </si>
  <si>
    <t>Kultivace okolí cyklostezky</t>
  </si>
  <si>
    <t>Úprava zeleně a dovybavení valu od pláže podél fotbal. hřiště v Mokropsích</t>
  </si>
  <si>
    <t>Zvýšení protihluk.valu u skateparku</t>
  </si>
  <si>
    <t>Dovybavení dětských hřišť</t>
  </si>
  <si>
    <t>Vyhlídka na skále nad jezem u žel. mostu</t>
  </si>
  <si>
    <t>Cvičiště pro psy</t>
  </si>
  <si>
    <t>Nafukovací hala u ZŠ Komenského</t>
  </si>
  <si>
    <t>Doubudování chodníku přes kamenný most</t>
  </si>
  <si>
    <t xml:space="preserve">VÝDAJE CELKOVÉ </t>
  </si>
  <si>
    <t>8115</t>
  </si>
  <si>
    <t>Zapojení zůstatku účtu</t>
  </si>
  <si>
    <t>dotace na revitalizaci stromů na hřbitově</t>
  </si>
  <si>
    <t>zůstatek sociálního fondu</t>
  </si>
  <si>
    <t>rezerva</t>
  </si>
  <si>
    <t>Schválený rozpočet 2012</t>
  </si>
  <si>
    <t>platy (29 osob)</t>
  </si>
  <si>
    <t>platy zaměstnanců (14 osob)</t>
  </si>
  <si>
    <t>platy zaměstnanců (6 osob)</t>
  </si>
  <si>
    <t>Platy (25, resp. od 11/2012 26 osob)</t>
  </si>
  <si>
    <t>Platy zaměstnanců v pracovním poměru (17 osob)</t>
  </si>
  <si>
    <t>Platy (5 osob)</t>
  </si>
  <si>
    <t>platy (21 osob)</t>
  </si>
  <si>
    <t>platy (17 osob)</t>
  </si>
  <si>
    <t>platy (6 osob)</t>
  </si>
  <si>
    <t>platy (12 osob)</t>
  </si>
  <si>
    <t>Platy (7 osob)</t>
  </si>
  <si>
    <t>platy (2 osoby)</t>
  </si>
  <si>
    <t>platy (osoby)</t>
  </si>
  <si>
    <t>platy zaměstnanců (8 osob)</t>
  </si>
  <si>
    <t>Platy (1 osoba)</t>
  </si>
  <si>
    <t>Platy (4 osoby)</t>
  </si>
  <si>
    <t>Platy (8 osob)</t>
  </si>
  <si>
    <t>DDHM - mobiliář, ostatní technika</t>
  </si>
  <si>
    <t>zájmový fond rady</t>
  </si>
  <si>
    <t>006402</t>
  </si>
  <si>
    <t>6402000000001</t>
  </si>
  <si>
    <t>Vypořádání dotací</t>
  </si>
  <si>
    <t>5366</t>
  </si>
  <si>
    <t>Příjmy z prodeje zboží</t>
  </si>
  <si>
    <t>Správní poplatky - Czech Point</t>
  </si>
  <si>
    <t>Ostatní činnosti jinde neuvedené</t>
  </si>
  <si>
    <t>nárok na odpočet DPH</t>
  </si>
  <si>
    <t>OI - dotace</t>
  </si>
  <si>
    <t>Dotace na Technologické centrum</t>
  </si>
  <si>
    <t>MŠ Vápenice - dotace</t>
  </si>
  <si>
    <t>4123</t>
  </si>
  <si>
    <t>OŽÚ - dotace</t>
  </si>
  <si>
    <t>4116</t>
  </si>
  <si>
    <t>dotace JKM</t>
  </si>
  <si>
    <t>Celková bilance</t>
  </si>
  <si>
    <t>v tis. Kč</t>
  </si>
  <si>
    <t>řádek</t>
  </si>
  <si>
    <t>změna</t>
  </si>
  <si>
    <t>Celkem výdaje</t>
  </si>
  <si>
    <t>Celkem příjmy</t>
  </si>
  <si>
    <t>Rozpočtové saldo (ř.2 - ř.1)</t>
  </si>
  <si>
    <t>Zapojení dlouhodobého úvěru</t>
  </si>
  <si>
    <t>Splácení úvěrů a půjček</t>
  </si>
  <si>
    <t xml:space="preserve"> - splátka úvěru z roku 2010 na pokrytí nákladů roku 2009</t>
  </si>
  <si>
    <t xml:space="preserve"> - rekonstrukce komunikací Slunečná</t>
  </si>
  <si>
    <t xml:space="preserve"> - kanalizace ulice Husova</t>
  </si>
  <si>
    <t xml:space="preserve"> - bike and ride</t>
  </si>
  <si>
    <t xml:space="preserve"> - rekonstrukce ulice Kladenská</t>
  </si>
  <si>
    <t xml:space="preserve"> - rekonstrukce ulice Střední</t>
  </si>
  <si>
    <t xml:space="preserve"> - mateřská škola </t>
  </si>
  <si>
    <t>Změna stavu účtů</t>
  </si>
  <si>
    <t xml:space="preserve"> - Nevyčerpané prostředky v projektu OP LZZ z roku 2011</t>
  </si>
  <si>
    <t xml:space="preserve"> - Nevyčerpané prostředky SF</t>
  </si>
  <si>
    <t>Celkové náklady (ř.1 + ř.5)</t>
  </si>
  <si>
    <t>Celková zdroje financování (ř.2 + ř.4 + ř.6)</t>
  </si>
  <si>
    <t>Schodek rozpočtu (ř.8 - ř.7)</t>
  </si>
  <si>
    <t>schodek rozpočtu (záporný, přebytek v případě kladného čísla)</t>
  </si>
  <si>
    <t>Zapojení úvěru k financování rozpočtového schodku</t>
  </si>
  <si>
    <t xml:space="preserve"> - zapojení zůstatku účtu</t>
  </si>
  <si>
    <t>včetně OPLZZ</t>
  </si>
  <si>
    <t xml:space="preserve"> - zůstatek dotace na revitalizaci hřbitova</t>
  </si>
  <si>
    <t>veřejné bruslení</t>
  </si>
  <si>
    <t>MŠ Vápenice - běžné výdaje</t>
  </si>
  <si>
    <t>kolky - zápis nového názvu do obch. rejstříku</t>
  </si>
  <si>
    <t>Fond starosty</t>
  </si>
  <si>
    <t>příjmy z prodeje zboží</t>
  </si>
  <si>
    <t>Akce financované z budoucího úvěru - v rozpočtu nezahrnuto</t>
  </si>
  <si>
    <t>Akce financované z investičních fondů příspěvkových organizací - nepatří do rozpočtu města</t>
  </si>
  <si>
    <t xml:space="preserve"> SCHVÁLENÝ ROZPOČET VÝDAJŮ DLE ORJ, ODPA, POL A ORG NA ROK 2013</t>
  </si>
  <si>
    <t xml:space="preserve"> SCHVÁLENÝ ROZPOČET PŘÍJMŮ DLE ORJ, ODPA, POL A ORG NA ROK 2013</t>
  </si>
  <si>
    <t>Schválený rozpočet 2013</t>
  </si>
  <si>
    <t>Příjmy v tis. Kč</t>
  </si>
  <si>
    <t>Výdaje v tis. Kč</t>
  </si>
  <si>
    <t>Příjmy / RS (%)</t>
  </si>
  <si>
    <t>Příjmy / RU (%)</t>
  </si>
  <si>
    <t>Příjmy / plnění (%)</t>
  </si>
  <si>
    <t>Výdaje / RS (%)</t>
  </si>
  <si>
    <t>Výdaje / RU (%)</t>
  </si>
  <si>
    <t>Výdaje / čerpání (%)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</si>
</sst>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  <numFmt numFmtId="172" formatCode="#,##0&quot; Kč&quot;"/>
    <numFmt numFmtId="173" formatCode="#,##0.000"/>
    <numFmt numFmtId="174" formatCode="#,##0.0000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color indexed="55"/>
      <name val="Arial CE"/>
      <family val="2"/>
    </font>
    <font>
      <sz val="10"/>
      <color indexed="23"/>
      <name val="Arial CE"/>
      <family val="2"/>
    </font>
    <font>
      <sz val="8"/>
      <color indexed="23"/>
      <name val="Arial CE"/>
      <family val="2"/>
    </font>
    <font>
      <b/>
      <sz val="10"/>
      <color indexed="23"/>
      <name val="Arial CE"/>
      <family val="2"/>
    </font>
    <font>
      <b/>
      <sz val="10"/>
      <color indexed="9"/>
      <name val="Arial CE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name val="Arial CE"/>
      <family val="2"/>
    </font>
    <font>
      <b/>
      <sz val="10"/>
      <color indexed="10"/>
      <name val="Arial CE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 CE"/>
      <family val="0"/>
    </font>
    <font>
      <sz val="12"/>
      <name val="Arial"/>
      <family val="2"/>
    </font>
    <font>
      <b/>
      <sz val="12"/>
      <color indexed="55"/>
      <name val="Arial CE"/>
      <family val="0"/>
    </font>
    <font>
      <b/>
      <sz val="12"/>
      <color indexed="23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33" borderId="0" xfId="36" applyFill="1">
      <alignment/>
      <protection/>
    </xf>
    <xf numFmtId="3" fontId="1" fillId="34" borderId="10" xfId="36" applyNumberFormat="1" applyFont="1" applyFill="1" applyBorder="1" applyAlignment="1">
      <alignment horizontal="right"/>
      <protection/>
    </xf>
    <xf numFmtId="0" fontId="1" fillId="33" borderId="0" xfId="36" applyFont="1" applyFill="1">
      <alignment/>
      <protection/>
    </xf>
    <xf numFmtId="3" fontId="1" fillId="33" borderId="10" xfId="36" applyNumberFormat="1" applyFont="1" applyFill="1" applyBorder="1" applyAlignment="1">
      <alignment horizontal="right"/>
      <protection/>
    </xf>
    <xf numFmtId="3" fontId="1" fillId="33" borderId="11" xfId="36" applyNumberFormat="1" applyFont="1" applyFill="1" applyBorder="1" applyAlignment="1">
      <alignment horizontal="right"/>
      <protection/>
    </xf>
    <xf numFmtId="0" fontId="1" fillId="33" borderId="12" xfId="36" applyFont="1" applyFill="1" applyBorder="1" applyAlignment="1">
      <alignment horizontal="center"/>
      <protection/>
    </xf>
    <xf numFmtId="0" fontId="1" fillId="33" borderId="12" xfId="36" applyFont="1" applyFill="1" applyBorder="1" applyAlignment="1">
      <alignment horizontal="right"/>
      <protection/>
    </xf>
    <xf numFmtId="0" fontId="0" fillId="33" borderId="13" xfId="36" applyFont="1" applyFill="1" applyBorder="1" applyAlignment="1">
      <alignment horizontal="center"/>
      <protection/>
    </xf>
    <xf numFmtId="0" fontId="10" fillId="33" borderId="0" xfId="36" applyFont="1" applyFill="1">
      <alignment/>
      <protection/>
    </xf>
    <xf numFmtId="0" fontId="0" fillId="33" borderId="0" xfId="36" applyFont="1" applyFill="1">
      <alignment/>
      <protection/>
    </xf>
    <xf numFmtId="0" fontId="1" fillId="0" borderId="14" xfId="36" applyFont="1" applyFill="1" applyBorder="1" applyAlignment="1">
      <alignment horizontal="left" wrapText="1"/>
      <protection/>
    </xf>
    <xf numFmtId="3" fontId="1" fillId="34" borderId="11" xfId="36" applyNumberFormat="1" applyFont="1" applyFill="1" applyBorder="1" applyAlignment="1">
      <alignment horizontal="right"/>
      <protection/>
    </xf>
    <xf numFmtId="0" fontId="0" fillId="35" borderId="11" xfId="36" applyFont="1" applyFill="1" applyBorder="1" applyAlignment="1">
      <alignment horizontal="center"/>
      <protection/>
    </xf>
    <xf numFmtId="0" fontId="0" fillId="33" borderId="15" xfId="36" applyFont="1" applyFill="1" applyBorder="1">
      <alignment/>
      <protection/>
    </xf>
    <xf numFmtId="0" fontId="1" fillId="33" borderId="14" xfId="36" applyFont="1" applyFill="1" applyBorder="1" applyAlignment="1">
      <alignment horizontal="left"/>
      <protection/>
    </xf>
    <xf numFmtId="0" fontId="10" fillId="36" borderId="11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left" wrapText="1"/>
      <protection/>
    </xf>
    <xf numFmtId="0" fontId="0" fillId="37" borderId="11" xfId="36" applyFont="1" applyFill="1" applyBorder="1" applyAlignment="1">
      <alignment horizontal="center"/>
      <protection/>
    </xf>
    <xf numFmtId="3" fontId="1" fillId="38" borderId="11" xfId="36" applyNumberFormat="1" applyFont="1" applyFill="1" applyBorder="1" applyAlignment="1">
      <alignment horizontal="right"/>
      <protection/>
    </xf>
    <xf numFmtId="0" fontId="0" fillId="0" borderId="11" xfId="36" applyNumberFormat="1" applyFont="1" applyFill="1" applyBorder="1" applyAlignment="1">
      <alignment horizontal="center"/>
      <protection/>
    </xf>
    <xf numFmtId="0" fontId="0" fillId="0" borderId="11" xfId="36" applyFont="1" applyFill="1" applyBorder="1" applyAlignment="1">
      <alignment horizontal="center"/>
      <protection/>
    </xf>
    <xf numFmtId="0" fontId="1" fillId="0" borderId="14" xfId="36" applyFont="1" applyFill="1" applyBorder="1" applyAlignment="1">
      <alignment horizontal="left"/>
      <protection/>
    </xf>
    <xf numFmtId="0" fontId="10" fillId="36" borderId="11" xfId="36" applyNumberFormat="1" applyFont="1" applyFill="1" applyBorder="1" applyAlignment="1">
      <alignment horizontal="center"/>
      <protection/>
    </xf>
    <xf numFmtId="0" fontId="10" fillId="33" borderId="15" xfId="36" applyFont="1" applyFill="1" applyBorder="1" applyAlignment="1">
      <alignment horizontal="center"/>
      <protection/>
    </xf>
    <xf numFmtId="0" fontId="0" fillId="37" borderId="11" xfId="36" applyNumberFormat="1" applyFont="1" applyFill="1" applyBorder="1" applyAlignment="1">
      <alignment horizontal="center"/>
      <protection/>
    </xf>
    <xf numFmtId="3" fontId="0" fillId="33" borderId="0" xfId="36" applyNumberFormat="1" applyFont="1" applyFill="1">
      <alignment/>
      <protection/>
    </xf>
    <xf numFmtId="0" fontId="0" fillId="39" borderId="11" xfId="36" applyNumberFormat="1" applyFont="1" applyFill="1" applyBorder="1" applyAlignment="1">
      <alignment horizontal="center"/>
      <protection/>
    </xf>
    <xf numFmtId="0" fontId="0" fillId="39" borderId="11" xfId="36" applyFont="1" applyFill="1" applyBorder="1" applyAlignment="1">
      <alignment horizontal="center"/>
      <protection/>
    </xf>
    <xf numFmtId="0" fontId="0" fillId="0" borderId="15" xfId="36" applyFont="1" applyFill="1" applyBorder="1">
      <alignment/>
      <protection/>
    </xf>
    <xf numFmtId="0" fontId="0" fillId="40" borderId="11" xfId="36" applyNumberFormat="1" applyFont="1" applyFill="1" applyBorder="1" applyAlignment="1">
      <alignment horizontal="center"/>
      <protection/>
    </xf>
    <xf numFmtId="0" fontId="0" fillId="40" borderId="11" xfId="36" applyFont="1" applyFill="1" applyBorder="1" applyAlignment="1">
      <alignment horizontal="center"/>
      <protection/>
    </xf>
    <xf numFmtId="0" fontId="0" fillId="33" borderId="11" xfId="36" applyNumberFormat="1" applyFont="1" applyFill="1" applyBorder="1" applyAlignment="1">
      <alignment horizontal="center"/>
      <protection/>
    </xf>
    <xf numFmtId="0" fontId="0" fillId="33" borderId="11" xfId="36" applyFont="1" applyFill="1" applyBorder="1" applyAlignment="1">
      <alignment horizontal="center"/>
      <protection/>
    </xf>
    <xf numFmtId="3" fontId="0" fillId="33" borderId="0" xfId="36" applyNumberFormat="1" applyFont="1" applyFill="1" applyBorder="1">
      <alignment/>
      <protection/>
    </xf>
    <xf numFmtId="0" fontId="0" fillId="41" borderId="11" xfId="36" applyFont="1" applyFill="1" applyBorder="1" applyAlignment="1">
      <alignment horizontal="center"/>
      <protection/>
    </xf>
    <xf numFmtId="0" fontId="11" fillId="33" borderId="0" xfId="36" applyFont="1" applyFill="1">
      <alignment/>
      <protection/>
    </xf>
    <xf numFmtId="0" fontId="1" fillId="33" borderId="14" xfId="36" applyFont="1" applyFill="1" applyBorder="1">
      <alignment/>
      <protection/>
    </xf>
    <xf numFmtId="0" fontId="15" fillId="0" borderId="14" xfId="36" applyFont="1" applyFill="1" applyBorder="1" applyAlignment="1">
      <alignment horizontal="left"/>
      <protection/>
    </xf>
    <xf numFmtId="3" fontId="15" fillId="0" borderId="11" xfId="36" applyNumberFormat="1" applyFont="1" applyFill="1" applyBorder="1" applyAlignment="1">
      <alignment horizontal="right"/>
      <protection/>
    </xf>
    <xf numFmtId="0" fontId="13" fillId="0" borderId="11" xfId="36" applyNumberFormat="1" applyFont="1" applyFill="1" applyBorder="1" applyAlignment="1">
      <alignment horizontal="center"/>
      <protection/>
    </xf>
    <xf numFmtId="0" fontId="13" fillId="0" borderId="11" xfId="36" applyFont="1" applyFill="1" applyBorder="1" applyAlignment="1">
      <alignment horizontal="center"/>
      <protection/>
    </xf>
    <xf numFmtId="0" fontId="14" fillId="33" borderId="15" xfId="36" applyFont="1" applyFill="1" applyBorder="1" applyAlignment="1">
      <alignment horizontal="center"/>
      <protection/>
    </xf>
    <xf numFmtId="0" fontId="15" fillId="0" borderId="14" xfId="36" applyFont="1" applyFill="1" applyBorder="1" applyAlignment="1">
      <alignment horizontal="left" wrapText="1"/>
      <protection/>
    </xf>
    <xf numFmtId="0" fontId="15" fillId="33" borderId="14" xfId="36" applyFont="1" applyFill="1" applyBorder="1" applyAlignment="1">
      <alignment horizontal="left"/>
      <protection/>
    </xf>
    <xf numFmtId="3" fontId="15" fillId="33" borderId="11" xfId="36" applyNumberFormat="1" applyFont="1" applyFill="1" applyBorder="1" applyAlignment="1">
      <alignment horizontal="right"/>
      <protection/>
    </xf>
    <xf numFmtId="0" fontId="13" fillId="33" borderId="11" xfId="36" applyFont="1" applyFill="1" applyBorder="1" applyAlignment="1">
      <alignment horizontal="center"/>
      <protection/>
    </xf>
    <xf numFmtId="3" fontId="12" fillId="33" borderId="11" xfId="36" applyNumberFormat="1" applyFont="1" applyFill="1" applyBorder="1" applyAlignment="1">
      <alignment horizontal="right"/>
      <protection/>
    </xf>
    <xf numFmtId="0" fontId="1" fillId="33" borderId="11" xfId="36" applyFont="1" applyFill="1" applyBorder="1" applyAlignment="1">
      <alignment horizontal="center"/>
      <protection/>
    </xf>
    <xf numFmtId="0" fontId="0" fillId="33" borderId="11" xfId="36" applyFont="1" applyFill="1" applyBorder="1">
      <alignment/>
      <protection/>
    </xf>
    <xf numFmtId="0" fontId="1" fillId="33" borderId="11" xfId="36" applyFont="1" applyFill="1" applyBorder="1" applyAlignment="1">
      <alignment horizontal="right"/>
      <protection/>
    </xf>
    <xf numFmtId="172" fontId="16" fillId="33" borderId="11" xfId="36" applyNumberFormat="1" applyFont="1" applyFill="1" applyBorder="1" applyAlignment="1">
      <alignment horizontal="right"/>
      <protection/>
    </xf>
    <xf numFmtId="0" fontId="16" fillId="33" borderId="11" xfId="36" applyFont="1" applyFill="1" applyBorder="1" applyAlignment="1">
      <alignment horizontal="center"/>
      <protection/>
    </xf>
    <xf numFmtId="0" fontId="10" fillId="33" borderId="11" xfId="36" applyFont="1" applyFill="1" applyBorder="1">
      <alignment/>
      <protection/>
    </xf>
    <xf numFmtId="3" fontId="13" fillId="33" borderId="11" xfId="36" applyNumberFormat="1" applyFont="1" applyFill="1" applyBorder="1" applyAlignment="1">
      <alignment horizontal="right"/>
      <protection/>
    </xf>
    <xf numFmtId="0" fontId="15" fillId="33" borderId="11" xfId="36" applyNumberFormat="1" applyFont="1" applyFill="1" applyBorder="1" applyAlignment="1">
      <alignment horizontal="center"/>
      <protection/>
    </xf>
    <xf numFmtId="0" fontId="13" fillId="33" borderId="11" xfId="36" applyFont="1" applyFill="1" applyBorder="1">
      <alignment/>
      <protection/>
    </xf>
    <xf numFmtId="0" fontId="1" fillId="33" borderId="11" xfId="36" applyNumberFormat="1" applyFont="1" applyFill="1" applyBorder="1" applyAlignment="1">
      <alignment horizontal="center"/>
      <protection/>
    </xf>
    <xf numFmtId="0" fontId="15" fillId="33" borderId="16" xfId="36" applyFont="1" applyFill="1" applyBorder="1" applyAlignment="1">
      <alignment horizontal="left" wrapText="1"/>
      <protection/>
    </xf>
    <xf numFmtId="3" fontId="13" fillId="33" borderId="17" xfId="36" applyNumberFormat="1" applyFont="1" applyFill="1" applyBorder="1" applyAlignment="1">
      <alignment horizontal="right"/>
      <protection/>
    </xf>
    <xf numFmtId="0" fontId="1" fillId="33" borderId="17" xfId="36" applyNumberFormat="1" applyFont="1" applyFill="1" applyBorder="1" applyAlignment="1">
      <alignment horizontal="center"/>
      <protection/>
    </xf>
    <xf numFmtId="0" fontId="0" fillId="33" borderId="17" xfId="36" applyFont="1" applyFill="1" applyBorder="1">
      <alignment/>
      <protection/>
    </xf>
    <xf numFmtId="0" fontId="14" fillId="33" borderId="18" xfId="36" applyFont="1" applyFill="1" applyBorder="1" applyAlignment="1">
      <alignment horizontal="center"/>
      <protection/>
    </xf>
    <xf numFmtId="0" fontId="1" fillId="33" borderId="19" xfId="36" applyFont="1" applyFill="1" applyBorder="1">
      <alignment/>
      <protection/>
    </xf>
    <xf numFmtId="172" fontId="1" fillId="33" borderId="20" xfId="36" applyNumberFormat="1" applyFont="1" applyFill="1" applyBorder="1" applyAlignment="1">
      <alignment horizontal="right"/>
      <protection/>
    </xf>
    <xf numFmtId="3" fontId="1" fillId="33" borderId="21" xfId="36" applyNumberFormat="1" applyFont="1" applyFill="1" applyBorder="1">
      <alignment/>
      <protection/>
    </xf>
    <xf numFmtId="0" fontId="1" fillId="33" borderId="22" xfId="36" applyFont="1" applyFill="1" applyBorder="1">
      <alignment/>
      <protection/>
    </xf>
    <xf numFmtId="0" fontId="1" fillId="33" borderId="23" xfId="36" applyFont="1" applyFill="1" applyBorder="1">
      <alignment/>
      <protection/>
    </xf>
    <xf numFmtId="0" fontId="1" fillId="33" borderId="24" xfId="36" applyFont="1" applyFill="1" applyBorder="1">
      <alignment/>
      <protection/>
    </xf>
    <xf numFmtId="0" fontId="1" fillId="33" borderId="25" xfId="36" applyFont="1" applyFill="1" applyBorder="1" applyAlignment="1">
      <alignment horizontal="right"/>
      <protection/>
    </xf>
    <xf numFmtId="0" fontId="1" fillId="33" borderId="26" xfId="36" applyFont="1" applyFill="1" applyBorder="1">
      <alignment/>
      <protection/>
    </xf>
    <xf numFmtId="0" fontId="1" fillId="33" borderId="17" xfId="36" applyFont="1" applyFill="1" applyBorder="1">
      <alignment/>
      <protection/>
    </xf>
    <xf numFmtId="0" fontId="1" fillId="33" borderId="18" xfId="36" applyFont="1" applyFill="1" applyBorder="1">
      <alignment/>
      <protection/>
    </xf>
    <xf numFmtId="0" fontId="0" fillId="33" borderId="0" xfId="36" applyFill="1" applyAlignment="1">
      <alignment horizontal="right"/>
      <protection/>
    </xf>
    <xf numFmtId="4" fontId="8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9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/>
    </xf>
    <xf numFmtId="4" fontId="6" fillId="0" borderId="0" xfId="0" applyNumberFormat="1" applyFont="1" applyFill="1" applyAlignment="1">
      <alignment horizontal="left"/>
    </xf>
    <xf numFmtId="9" fontId="8" fillId="0" borderId="0" xfId="50" applyFont="1" applyFill="1" applyBorder="1" applyAlignment="1">
      <alignment/>
    </xf>
    <xf numFmtId="9" fontId="8" fillId="0" borderId="0" xfId="50" applyFont="1" applyFill="1" applyAlignment="1">
      <alignment/>
    </xf>
    <xf numFmtId="49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left"/>
    </xf>
    <xf numFmtId="4" fontId="5" fillId="0" borderId="27" xfId="0" applyNumberFormat="1" applyFont="1" applyFill="1" applyBorder="1" applyAlignment="1">
      <alignment horizontal="left"/>
    </xf>
    <xf numFmtId="4" fontId="5" fillId="0" borderId="27" xfId="0" applyNumberFormat="1" applyFont="1" applyFill="1" applyBorder="1" applyAlignment="1">
      <alignment horizontal="right"/>
    </xf>
    <xf numFmtId="9" fontId="9" fillId="0" borderId="27" xfId="50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right"/>
    </xf>
    <xf numFmtId="9" fontId="9" fillId="0" borderId="0" xfId="50" applyFont="1" applyFill="1" applyBorder="1" applyAlignment="1">
      <alignment horizontal="right"/>
    </xf>
    <xf numFmtId="9" fontId="9" fillId="0" borderId="0" xfId="5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9" fontId="9" fillId="0" borderId="0" xfId="50" applyFont="1" applyFill="1" applyBorder="1" applyAlignment="1">
      <alignment/>
    </xf>
    <xf numFmtId="4" fontId="5" fillId="0" borderId="0" xfId="0" applyNumberFormat="1" applyFont="1" applyFill="1" applyAlignment="1">
      <alignment/>
    </xf>
    <xf numFmtId="9" fontId="9" fillId="0" borderId="0" xfId="5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27" xfId="0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1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42" borderId="28" xfId="0" applyFont="1" applyFill="1" applyBorder="1" applyAlignment="1">
      <alignment horizontal="center" vertical="center"/>
    </xf>
    <xf numFmtId="0" fontId="23" fillId="42" borderId="29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" fontId="24" fillId="42" borderId="30" xfId="0" applyNumberFormat="1" applyFont="1" applyFill="1" applyBorder="1" applyAlignment="1">
      <alignment horizontal="center" vertical="center"/>
    </xf>
    <xf numFmtId="0" fontId="23" fillId="42" borderId="31" xfId="0" applyFont="1" applyFill="1" applyBorder="1" applyAlignment="1">
      <alignment vertical="center"/>
    </xf>
    <xf numFmtId="0" fontId="24" fillId="42" borderId="31" xfId="0" applyFont="1" applyFill="1" applyBorder="1" applyAlignment="1">
      <alignment horizontal="center" vertical="center" wrapText="1"/>
    </xf>
    <xf numFmtId="0" fontId="24" fillId="42" borderId="32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3" fontId="19" fillId="0" borderId="31" xfId="0" applyNumberFormat="1" applyFont="1" applyFill="1" applyBorder="1" applyAlignment="1">
      <alignment horizontal="right" vertical="center"/>
    </xf>
    <xf numFmtId="166" fontId="19" fillId="0" borderId="3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Fill="1" applyBorder="1" applyAlignment="1">
      <alignment vertical="center"/>
    </xf>
    <xf numFmtId="3" fontId="19" fillId="0" borderId="34" xfId="0" applyNumberFormat="1" applyFont="1" applyFill="1" applyBorder="1" applyAlignment="1">
      <alignment vertical="center"/>
    </xf>
    <xf numFmtId="166" fontId="19" fillId="0" borderId="35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Fill="1" applyBorder="1" applyAlignment="1">
      <alignment vertical="center"/>
    </xf>
    <xf numFmtId="3" fontId="19" fillId="0" borderId="29" xfId="0" applyNumberFormat="1" applyFont="1" applyFill="1" applyBorder="1" applyAlignment="1">
      <alignment vertical="center"/>
    </xf>
    <xf numFmtId="3" fontId="19" fillId="0" borderId="29" xfId="0" applyNumberFormat="1" applyFont="1" applyFill="1" applyBorder="1" applyAlignment="1">
      <alignment horizontal="right" vertical="center"/>
    </xf>
    <xf numFmtId="166" fontId="19" fillId="0" borderId="36" xfId="0" applyNumberFormat="1" applyFont="1" applyFill="1" applyBorder="1" applyAlignment="1">
      <alignment horizontal="right" vertical="center"/>
    </xf>
    <xf numFmtId="3" fontId="19" fillId="0" borderId="31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vertical="center"/>
    </xf>
    <xf numFmtId="3" fontId="19" fillId="0" borderId="38" xfId="0" applyNumberFormat="1" applyFont="1" applyFill="1" applyBorder="1" applyAlignment="1">
      <alignment vertical="center"/>
    </xf>
    <xf numFmtId="166" fontId="19" fillId="0" borderId="39" xfId="0" applyNumberFormat="1" applyFont="1" applyFill="1" applyBorder="1" applyAlignment="1">
      <alignment horizontal="right" vertical="center"/>
    </xf>
    <xf numFmtId="0" fontId="18" fillId="0" borderId="3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166" fontId="19" fillId="0" borderId="35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11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3" fontId="19" fillId="0" borderId="36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9" fillId="0" borderId="35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vertical="center"/>
    </xf>
    <xf numFmtId="11" fontId="21" fillId="0" borderId="40" xfId="0" applyNumberFormat="1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11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/>
    </xf>
    <xf numFmtId="3" fontId="1" fillId="34" borderId="41" xfId="36" applyNumberFormat="1" applyFont="1" applyFill="1" applyBorder="1" applyAlignment="1">
      <alignment horizontal="right"/>
      <protection/>
    </xf>
    <xf numFmtId="0" fontId="0" fillId="41" borderId="41" xfId="36" applyFont="1" applyFill="1" applyBorder="1" applyAlignment="1">
      <alignment horizontal="center"/>
      <protection/>
    </xf>
    <xf numFmtId="0" fontId="0" fillId="33" borderId="42" xfId="36" applyFont="1" applyFill="1" applyBorder="1">
      <alignment/>
      <protection/>
    </xf>
    <xf numFmtId="0" fontId="1" fillId="33" borderId="43" xfId="36" applyFont="1" applyFill="1" applyBorder="1" applyAlignment="1">
      <alignment horizontal="left"/>
      <protection/>
    </xf>
    <xf numFmtId="0" fontId="0" fillId="33" borderId="20" xfId="36" applyFont="1" applyFill="1" applyBorder="1">
      <alignment/>
      <protection/>
    </xf>
    <xf numFmtId="3" fontId="12" fillId="33" borderId="20" xfId="36" applyNumberFormat="1" applyFont="1" applyFill="1" applyBorder="1" applyAlignment="1">
      <alignment horizontal="right"/>
      <protection/>
    </xf>
    <xf numFmtId="0" fontId="13" fillId="33" borderId="20" xfId="36" applyFont="1" applyFill="1" applyBorder="1" applyAlignment="1">
      <alignment horizontal="center"/>
      <protection/>
    </xf>
    <xf numFmtId="0" fontId="14" fillId="33" borderId="20" xfId="36" applyFont="1" applyFill="1" applyBorder="1" applyAlignment="1">
      <alignment horizontal="center"/>
      <protection/>
    </xf>
    <xf numFmtId="0" fontId="0" fillId="33" borderId="0" xfId="36" applyFont="1" applyFill="1" applyBorder="1">
      <alignment/>
      <protection/>
    </xf>
    <xf numFmtId="3" fontId="12" fillId="33" borderId="0" xfId="36" applyNumberFormat="1" applyFont="1" applyFill="1" applyBorder="1" applyAlignment="1">
      <alignment horizontal="right"/>
      <protection/>
    </xf>
    <xf numFmtId="0" fontId="13" fillId="33" borderId="0" xfId="36" applyFont="1" applyFill="1" applyBorder="1" applyAlignment="1">
      <alignment horizontal="center"/>
      <protection/>
    </xf>
    <xf numFmtId="0" fontId="14" fillId="33" borderId="0" xfId="36" applyFont="1" applyFill="1" applyBorder="1" applyAlignment="1">
      <alignment horizontal="center"/>
      <protection/>
    </xf>
    <xf numFmtId="0" fontId="0" fillId="33" borderId="25" xfId="36" applyFont="1" applyFill="1" applyBorder="1">
      <alignment/>
      <protection/>
    </xf>
    <xf numFmtId="3" fontId="12" fillId="33" borderId="25" xfId="36" applyNumberFormat="1" applyFont="1" applyFill="1" applyBorder="1" applyAlignment="1">
      <alignment horizontal="right"/>
      <protection/>
    </xf>
    <xf numFmtId="0" fontId="13" fillId="33" borderId="25" xfId="36" applyFont="1" applyFill="1" applyBorder="1" applyAlignment="1">
      <alignment horizontal="center"/>
      <protection/>
    </xf>
    <xf numFmtId="0" fontId="14" fillId="33" borderId="25" xfId="36" applyFont="1" applyFill="1" applyBorder="1" applyAlignment="1">
      <alignment horizontal="center"/>
      <protection/>
    </xf>
    <xf numFmtId="0" fontId="22" fillId="33" borderId="0" xfId="36" applyFont="1" applyFill="1">
      <alignment/>
      <protection/>
    </xf>
    <xf numFmtId="0" fontId="1" fillId="33" borderId="0" xfId="36" applyFont="1" applyFill="1">
      <alignment/>
      <protection/>
    </xf>
    <xf numFmtId="3" fontId="27" fillId="33" borderId="44" xfId="36" applyNumberFormat="1" applyFont="1" applyFill="1" applyBorder="1" applyAlignment="1">
      <alignment horizontal="right"/>
      <protection/>
    </xf>
    <xf numFmtId="0" fontId="28" fillId="33" borderId="44" xfId="36" applyFont="1" applyFill="1" applyBorder="1" applyAlignment="1">
      <alignment horizontal="center"/>
      <protection/>
    </xf>
    <xf numFmtId="0" fontId="28" fillId="33" borderId="45" xfId="36" applyFont="1" applyFill="1" applyBorder="1" applyAlignment="1">
      <alignment horizontal="center"/>
      <protection/>
    </xf>
    <xf numFmtId="0" fontId="7" fillId="33" borderId="46" xfId="36" applyFont="1" applyFill="1" applyBorder="1" applyAlignment="1">
      <alignment horizontal="left"/>
      <protection/>
    </xf>
    <xf numFmtId="0" fontId="1" fillId="33" borderId="47" xfId="36" applyFont="1" applyFill="1" applyBorder="1" applyAlignment="1">
      <alignment horizontal="left"/>
      <protection/>
    </xf>
    <xf numFmtId="0" fontId="1" fillId="0" borderId="48" xfId="36" applyFont="1" applyFill="1" applyBorder="1" applyAlignment="1">
      <alignment horizontal="left" wrapText="1"/>
      <protection/>
    </xf>
    <xf numFmtId="3" fontId="1" fillId="38" borderId="49" xfId="36" applyNumberFormat="1" applyFont="1" applyFill="1" applyBorder="1" applyAlignment="1">
      <alignment horizontal="right"/>
      <protection/>
    </xf>
    <xf numFmtId="0" fontId="0" fillId="0" borderId="49" xfId="36" applyNumberFormat="1" applyFont="1" applyFill="1" applyBorder="1" applyAlignment="1">
      <alignment horizontal="center"/>
      <protection/>
    </xf>
    <xf numFmtId="0" fontId="0" fillId="0" borderId="49" xfId="36" applyFont="1" applyFill="1" applyBorder="1" applyAlignment="1">
      <alignment horizontal="center"/>
      <protection/>
    </xf>
    <xf numFmtId="0" fontId="0" fillId="33" borderId="50" xfId="36" applyFont="1" applyFill="1" applyBorder="1">
      <alignment/>
      <protection/>
    </xf>
    <xf numFmtId="0" fontId="1" fillId="0" borderId="51" xfId="36" applyFont="1" applyFill="1" applyBorder="1" applyAlignment="1">
      <alignment horizontal="left" wrapText="1"/>
      <protection/>
    </xf>
    <xf numFmtId="0" fontId="0" fillId="33" borderId="52" xfId="36" applyFont="1" applyFill="1" applyBorder="1">
      <alignment/>
      <protection/>
    </xf>
    <xf numFmtId="0" fontId="1" fillId="0" borderId="51" xfId="36" applyFont="1" applyFill="1" applyBorder="1" applyAlignment="1">
      <alignment horizontal="left"/>
      <protection/>
    </xf>
    <xf numFmtId="3" fontId="0" fillId="33" borderId="52" xfId="36" applyNumberFormat="1" applyFont="1" applyFill="1" applyBorder="1">
      <alignment/>
      <protection/>
    </xf>
    <xf numFmtId="0" fontId="1" fillId="33" borderId="51" xfId="36" applyFont="1" applyFill="1" applyBorder="1" applyAlignment="1">
      <alignment horizontal="left"/>
      <protection/>
    </xf>
    <xf numFmtId="0" fontId="0" fillId="43" borderId="52" xfId="36" applyFont="1" applyFill="1" applyBorder="1">
      <alignment/>
      <protection/>
    </xf>
    <xf numFmtId="0" fontId="1" fillId="0" borderId="53" xfId="36" applyFont="1" applyFill="1" applyBorder="1" applyAlignment="1">
      <alignment horizontal="left"/>
      <protection/>
    </xf>
    <xf numFmtId="3" fontId="1" fillId="34" borderId="54" xfId="36" applyNumberFormat="1" applyFont="1" applyFill="1" applyBorder="1" applyAlignment="1">
      <alignment horizontal="right"/>
      <protection/>
    </xf>
    <xf numFmtId="0" fontId="0" fillId="33" borderId="54" xfId="36" applyNumberFormat="1" applyFont="1" applyFill="1" applyBorder="1" applyAlignment="1">
      <alignment horizontal="center"/>
      <protection/>
    </xf>
    <xf numFmtId="0" fontId="0" fillId="33" borderId="54" xfId="36" applyFont="1" applyFill="1" applyBorder="1" applyAlignment="1">
      <alignment horizontal="center"/>
      <protection/>
    </xf>
    <xf numFmtId="0" fontId="0" fillId="43" borderId="55" xfId="36" applyFont="1" applyFill="1" applyBorder="1">
      <alignment/>
      <protection/>
    </xf>
    <xf numFmtId="0" fontId="1" fillId="33" borderId="48" xfId="36" applyFont="1" applyFill="1" applyBorder="1" applyAlignment="1">
      <alignment horizontal="left"/>
      <protection/>
    </xf>
    <xf numFmtId="3" fontId="1" fillId="34" borderId="49" xfId="36" applyNumberFormat="1" applyFont="1" applyFill="1" applyBorder="1" applyAlignment="1">
      <alignment horizontal="right"/>
      <protection/>
    </xf>
    <xf numFmtId="0" fontId="0" fillId="44" borderId="50" xfId="36" applyFont="1" applyFill="1" applyBorder="1">
      <alignment/>
      <protection/>
    </xf>
    <xf numFmtId="0" fontId="0" fillId="44" borderId="52" xfId="36" applyFont="1" applyFill="1" applyBorder="1">
      <alignment/>
      <protection/>
    </xf>
    <xf numFmtId="0" fontId="1" fillId="33" borderId="53" xfId="36" applyFont="1" applyFill="1" applyBorder="1" applyAlignment="1">
      <alignment horizontal="left"/>
      <protection/>
    </xf>
    <xf numFmtId="0" fontId="0" fillId="45" borderId="55" xfId="36" applyFont="1" applyFill="1" applyBorder="1">
      <alignment/>
      <protection/>
    </xf>
    <xf numFmtId="3" fontId="19" fillId="46" borderId="31" xfId="0" applyNumberFormat="1" applyFont="1" applyFill="1" applyBorder="1" applyAlignment="1">
      <alignment vertical="center"/>
    </xf>
    <xf numFmtId="3" fontId="19" fillId="46" borderId="38" xfId="0" applyNumberFormat="1" applyFont="1" applyFill="1" applyBorder="1" applyAlignment="1">
      <alignment vertical="center"/>
    </xf>
    <xf numFmtId="3" fontId="19" fillId="46" borderId="34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0" fillId="0" borderId="56" xfId="0" applyNumberFormat="1" applyFill="1" applyBorder="1" applyAlignment="1">
      <alignment/>
    </xf>
    <xf numFmtId="4" fontId="5" fillId="0" borderId="56" xfId="0" applyNumberFormat="1" applyFont="1" applyFill="1" applyBorder="1" applyAlignment="1">
      <alignment horizontal="center"/>
    </xf>
    <xf numFmtId="4" fontId="6" fillId="0" borderId="56" xfId="0" applyNumberFormat="1" applyFont="1" applyFill="1" applyBorder="1" applyAlignment="1">
      <alignment horizontal="right"/>
    </xf>
    <xf numFmtId="4" fontId="5" fillId="0" borderId="57" xfId="0" applyNumberFormat="1" applyFont="1" applyFill="1" applyBorder="1" applyAlignment="1">
      <alignment horizontal="right"/>
    </xf>
    <xf numFmtId="4" fontId="5" fillId="0" borderId="56" xfId="0" applyNumberFormat="1" applyFont="1" applyFill="1" applyBorder="1" applyAlignment="1">
      <alignment horizontal="right"/>
    </xf>
    <xf numFmtId="4" fontId="6" fillId="0" borderId="56" xfId="0" applyNumberFormat="1" applyFont="1" applyFill="1" applyBorder="1" applyAlignment="1">
      <alignment/>
    </xf>
    <xf numFmtId="173" fontId="19" fillId="0" borderId="29" xfId="0" applyNumberFormat="1" applyFont="1" applyFill="1" applyBorder="1" applyAlignment="1">
      <alignment vertical="center"/>
    </xf>
    <xf numFmtId="173" fontId="19" fillId="0" borderId="34" xfId="0" applyNumberFormat="1" applyFont="1" applyFill="1" applyBorder="1" applyAlignment="1">
      <alignment vertical="center"/>
    </xf>
    <xf numFmtId="0" fontId="24" fillId="42" borderId="29" xfId="0" applyFont="1" applyFill="1" applyBorder="1" applyAlignment="1">
      <alignment horizontal="center" vertical="center"/>
    </xf>
    <xf numFmtId="0" fontId="24" fillId="42" borderId="3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5">
    <dxf>
      <fill>
        <patternFill patternType="solid">
          <fgColor indexed="54"/>
          <bgColor indexed="57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54"/>
          <bgColor indexed="57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54"/>
          <bgColor indexed="57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54"/>
          <bgColor indexed="57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54"/>
          <bgColor indexed="57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52"/>
          <bgColor indexed="45"/>
        </patternFill>
      </fill>
    </dxf>
    <dxf>
      <fill>
        <patternFill patternType="solid">
          <fgColor indexed="54"/>
          <bgColor indexed="57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54"/>
          <bgColor indexed="57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26"/>
          <bgColor indexed="9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ill>
        <patternFill patternType="solid">
          <fgColor rgb="FFC0C0C0"/>
          <bgColor rgb="FF3399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outlinePr summaryBelow="0"/>
  </sheetPr>
  <dimension ref="A1:K106"/>
  <sheetViews>
    <sheetView zoomScaleSheetLayoutView="75" zoomScalePageLayoutView="0" workbookViewId="0" topLeftCell="A10">
      <selection activeCell="D25" sqref="D25:D26"/>
    </sheetView>
  </sheetViews>
  <sheetFormatPr defaultColWidth="9.00390625" defaultRowHeight="12.75" outlineLevelRow="1"/>
  <cols>
    <col min="1" max="1" width="2.125" style="77" customWidth="1"/>
    <col min="2" max="2" width="5.25390625" style="118" bestFit="1" customWidth="1"/>
    <col min="3" max="3" width="60.375" style="118" customWidth="1"/>
    <col min="4" max="4" width="13.625" style="77" customWidth="1"/>
    <col min="5" max="5" width="13.625" style="176" customWidth="1"/>
    <col min="6" max="6" width="9.625" style="176" customWidth="1"/>
    <col min="7" max="16384" width="9.125" style="77" customWidth="1"/>
  </cols>
  <sheetData>
    <row r="1" spans="2:4" s="114" customFormat="1" ht="15.75">
      <c r="B1" s="113" t="s">
        <v>857</v>
      </c>
      <c r="D1" s="115"/>
    </row>
    <row r="2" spans="2:6" s="114" customFormat="1" ht="15.75">
      <c r="B2" s="113" t="s">
        <v>821</v>
      </c>
      <c r="C2" s="116"/>
      <c r="F2" s="117"/>
    </row>
    <row r="3" spans="3:6" ht="15.75" thickBot="1">
      <c r="C3" s="119"/>
      <c r="D3" s="120"/>
      <c r="E3" s="121"/>
      <c r="F3" s="122"/>
    </row>
    <row r="4" spans="2:6" s="125" customFormat="1" ht="23.25" customHeight="1">
      <c r="B4" s="123"/>
      <c r="C4" s="124"/>
      <c r="D4" s="236" t="s">
        <v>822</v>
      </c>
      <c r="E4" s="236"/>
      <c r="F4" s="237"/>
    </row>
    <row r="5" spans="2:6" s="125" customFormat="1" ht="23.25" customHeight="1">
      <c r="B5" s="126" t="s">
        <v>823</v>
      </c>
      <c r="C5" s="127"/>
      <c r="D5" s="128" t="s">
        <v>857</v>
      </c>
      <c r="E5" s="128" t="s">
        <v>786</v>
      </c>
      <c r="F5" s="129" t="s">
        <v>824</v>
      </c>
    </row>
    <row r="6" spans="2:6" s="134" customFormat="1" ht="19.5" customHeight="1">
      <c r="B6" s="130">
        <v>1</v>
      </c>
      <c r="C6" s="131" t="s">
        <v>825</v>
      </c>
      <c r="D6" s="132">
        <f>Výdaje!G788</f>
        <v>193810.86700000003</v>
      </c>
      <c r="E6" s="132">
        <v>204756.6349319401</v>
      </c>
      <c r="F6" s="133">
        <f>D6/E6-1</f>
        <v>-0.05345745174791705</v>
      </c>
    </row>
    <row r="7" spans="2:6" s="134" customFormat="1" ht="19.5" customHeight="1">
      <c r="B7" s="130">
        <v>2</v>
      </c>
      <c r="C7" s="135" t="s">
        <v>826</v>
      </c>
      <c r="D7" s="132">
        <f>Příjmy!G203-Příjmy!G116</f>
        <v>196520.7</v>
      </c>
      <c r="E7" s="132">
        <v>200646.556561</v>
      </c>
      <c r="F7" s="133">
        <f>D7/E7-1</f>
        <v>-0.020562807713800257</v>
      </c>
    </row>
    <row r="8" spans="2:6" s="134" customFormat="1" ht="19.5" customHeight="1" thickBot="1">
      <c r="B8" s="136">
        <v>3</v>
      </c>
      <c r="C8" s="137" t="s">
        <v>827</v>
      </c>
      <c r="D8" s="138">
        <f>D7-D6</f>
        <v>2709.832999999984</v>
      </c>
      <c r="E8" s="138">
        <f>E7-E6</f>
        <v>-4110.078370940086</v>
      </c>
      <c r="F8" s="139"/>
    </row>
    <row r="9" spans="2:6" s="134" customFormat="1" ht="19.5" customHeight="1" thickBot="1">
      <c r="B9" s="140"/>
      <c r="C9" s="141"/>
      <c r="D9" s="142"/>
      <c r="E9" s="142"/>
      <c r="F9" s="143"/>
    </row>
    <row r="10" spans="2:6" s="134" customFormat="1" ht="19.5" customHeight="1">
      <c r="B10" s="144">
        <v>4</v>
      </c>
      <c r="C10" s="145" t="s">
        <v>828</v>
      </c>
      <c r="D10" s="146">
        <v>0</v>
      </c>
      <c r="E10" s="147">
        <v>9276.3328</v>
      </c>
      <c r="F10" s="148">
        <f>D10/E10-1</f>
        <v>-1</v>
      </c>
    </row>
    <row r="11" spans="2:8" s="134" customFormat="1" ht="19.5" customHeight="1" collapsed="1">
      <c r="B11" s="130">
        <v>5</v>
      </c>
      <c r="C11" s="131" t="s">
        <v>829</v>
      </c>
      <c r="D11" s="222">
        <v>11376</v>
      </c>
      <c r="E11" s="149">
        <v>15075.21127</v>
      </c>
      <c r="F11" s="133">
        <f>D11/E11-1</f>
        <v>-0.245383709969061</v>
      </c>
      <c r="G11" s="150"/>
      <c r="H11" s="150"/>
    </row>
    <row r="12" spans="2:6" s="134" customFormat="1" ht="19.5" customHeight="1" hidden="1" outlineLevel="1">
      <c r="B12" s="130"/>
      <c r="C12" s="131" t="s">
        <v>830</v>
      </c>
      <c r="D12" s="149"/>
      <c r="E12" s="149"/>
      <c r="F12" s="133"/>
    </row>
    <row r="13" spans="2:6" s="134" customFormat="1" ht="19.5" customHeight="1" hidden="1" outlineLevel="1">
      <c r="B13" s="130"/>
      <c r="C13" s="131" t="s">
        <v>831</v>
      </c>
      <c r="D13" s="149"/>
      <c r="E13" s="149"/>
      <c r="F13" s="133"/>
    </row>
    <row r="14" spans="2:6" s="134" customFormat="1" ht="19.5" customHeight="1" hidden="1" outlineLevel="1">
      <c r="B14" s="130"/>
      <c r="C14" s="131" t="s">
        <v>832</v>
      </c>
      <c r="D14" s="149"/>
      <c r="E14" s="149"/>
      <c r="F14" s="133"/>
    </row>
    <row r="15" spans="2:6" s="134" customFormat="1" ht="19.5" customHeight="1" hidden="1" outlineLevel="1">
      <c r="B15" s="130"/>
      <c r="C15" s="131" t="s">
        <v>833</v>
      </c>
      <c r="D15" s="149"/>
      <c r="E15" s="149"/>
      <c r="F15" s="133"/>
    </row>
    <row r="16" spans="2:6" s="134" customFormat="1" ht="19.5" customHeight="1" hidden="1" outlineLevel="1">
      <c r="B16" s="130"/>
      <c r="C16" s="131" t="s">
        <v>834</v>
      </c>
      <c r="D16" s="149"/>
      <c r="E16" s="149"/>
      <c r="F16" s="133"/>
    </row>
    <row r="17" spans="2:6" s="134" customFormat="1" ht="19.5" customHeight="1" hidden="1" outlineLevel="1">
      <c r="B17" s="130"/>
      <c r="C17" s="131" t="s">
        <v>835</v>
      </c>
      <c r="D17" s="149"/>
      <c r="E17" s="149"/>
      <c r="F17" s="133"/>
    </row>
    <row r="18" spans="2:6" s="134" customFormat="1" ht="19.5" customHeight="1" hidden="1" outlineLevel="1">
      <c r="B18" s="130"/>
      <c r="C18" s="131" t="s">
        <v>836</v>
      </c>
      <c r="D18" s="149"/>
      <c r="E18" s="149"/>
      <c r="F18" s="133"/>
    </row>
    <row r="19" spans="2:6" s="134" customFormat="1" ht="19.5" customHeight="1">
      <c r="B19" s="130">
        <v>6</v>
      </c>
      <c r="C19" s="131" t="s">
        <v>837</v>
      </c>
      <c r="D19" s="222">
        <f>SUM(D20:D23)</f>
        <v>8666.167000000001</v>
      </c>
      <c r="E19" s="149">
        <f>SUM(E20:E23)</f>
        <v>9908.804</v>
      </c>
      <c r="F19" s="133">
        <f>D19/E19-1</f>
        <v>-0.12540736500590777</v>
      </c>
    </row>
    <row r="20" spans="2:7" s="134" customFormat="1" ht="19.5" customHeight="1">
      <c r="B20" s="130"/>
      <c r="C20" s="131" t="s">
        <v>845</v>
      </c>
      <c r="D20" s="222">
        <f>7642.167+24</f>
        <v>7666.167</v>
      </c>
      <c r="E20" s="149">
        <v>8161</v>
      </c>
      <c r="F20" s="133"/>
      <c r="G20" s="134" t="s">
        <v>846</v>
      </c>
    </row>
    <row r="21" spans="2:6" s="134" customFormat="1" ht="19.5" customHeight="1" outlineLevel="1">
      <c r="B21" s="130"/>
      <c r="C21" s="131" t="s">
        <v>838</v>
      </c>
      <c r="D21" s="149">
        <v>0</v>
      </c>
      <c r="E21" s="149">
        <v>379</v>
      </c>
      <c r="F21" s="133"/>
    </row>
    <row r="22" spans="2:6" s="134" customFormat="1" ht="19.5" customHeight="1" outlineLevel="1">
      <c r="B22" s="151"/>
      <c r="C22" s="152" t="s">
        <v>839</v>
      </c>
      <c r="D22" s="223">
        <v>900</v>
      </c>
      <c r="E22" s="153">
        <v>694</v>
      </c>
      <c r="F22" s="154"/>
    </row>
    <row r="23" spans="2:6" s="134" customFormat="1" ht="19.5" customHeight="1" outlineLevel="1" thickBot="1">
      <c r="B23" s="136"/>
      <c r="C23" s="155" t="s">
        <v>847</v>
      </c>
      <c r="D23" s="224">
        <v>100</v>
      </c>
      <c r="E23" s="138">
        <v>674.8040000000001</v>
      </c>
      <c r="F23" s="139"/>
    </row>
    <row r="24" spans="2:6" s="134" customFormat="1" ht="19.5" customHeight="1" thickBot="1">
      <c r="B24" s="140"/>
      <c r="C24" s="156"/>
      <c r="D24" s="142"/>
      <c r="E24" s="142"/>
      <c r="F24" s="143"/>
    </row>
    <row r="25" spans="2:6" s="134" customFormat="1" ht="19.5" customHeight="1">
      <c r="B25" s="144">
        <v>7</v>
      </c>
      <c r="C25" s="157" t="s">
        <v>840</v>
      </c>
      <c r="D25" s="234">
        <f>D6+D11</f>
        <v>205186.86700000003</v>
      </c>
      <c r="E25" s="146">
        <f>E6+E11</f>
        <v>219831.8462019401</v>
      </c>
      <c r="F25" s="148">
        <f>D25/E25-1</f>
        <v>-0.06661900654961073</v>
      </c>
    </row>
    <row r="26" spans="2:6" s="134" customFormat="1" ht="19.5" customHeight="1" thickBot="1">
      <c r="B26" s="136">
        <v>8</v>
      </c>
      <c r="C26" s="155" t="s">
        <v>841</v>
      </c>
      <c r="D26" s="235">
        <f>D7+D10+D19</f>
        <v>205186.86700000003</v>
      </c>
      <c r="E26" s="138">
        <f>E7+E10+E19</f>
        <v>219831.693361</v>
      </c>
      <c r="F26" s="158">
        <f>D26/E26-1</f>
        <v>-0.06661835760392731</v>
      </c>
    </row>
    <row r="27" spans="2:6" s="134" customFormat="1" ht="19.5" customHeight="1" thickBot="1">
      <c r="B27" s="159"/>
      <c r="C27" s="160"/>
      <c r="D27" s="161"/>
      <c r="E27" s="162"/>
      <c r="F27" s="163"/>
    </row>
    <row r="28" spans="2:11" s="134" customFormat="1" ht="19.5" customHeight="1">
      <c r="B28" s="144">
        <v>9</v>
      </c>
      <c r="C28" s="157" t="s">
        <v>842</v>
      </c>
      <c r="D28" s="164">
        <f>D26-D25</f>
        <v>0</v>
      </c>
      <c r="E28" s="164">
        <f>E26-E25</f>
        <v>-0.15284094007802196</v>
      </c>
      <c r="F28" s="165"/>
      <c r="H28" s="166" t="s">
        <v>843</v>
      </c>
      <c r="I28" s="167"/>
      <c r="J28" s="167"/>
      <c r="K28" s="167"/>
    </row>
    <row r="29" spans="2:11" s="134" customFormat="1" ht="19.5" customHeight="1" thickBot="1">
      <c r="B29" s="136">
        <v>10</v>
      </c>
      <c r="C29" s="155" t="s">
        <v>844</v>
      </c>
      <c r="D29" s="168">
        <f>-D28</f>
        <v>0</v>
      </c>
      <c r="E29" s="168">
        <f>-E28</f>
        <v>0.15284094007802196</v>
      </c>
      <c r="F29" s="165"/>
      <c r="H29" s="167"/>
      <c r="I29" s="167"/>
      <c r="J29" s="167"/>
      <c r="K29" s="167"/>
    </row>
    <row r="30" spans="2:11" s="134" customFormat="1" ht="19.5" customHeight="1">
      <c r="B30" s="159"/>
      <c r="C30" s="160"/>
      <c r="D30" s="161"/>
      <c r="E30" s="162"/>
      <c r="F30" s="163"/>
      <c r="H30" s="167"/>
      <c r="I30" s="167"/>
      <c r="J30" s="167"/>
      <c r="K30" s="167"/>
    </row>
    <row r="31" spans="2:11" s="134" customFormat="1" ht="19.5" customHeight="1">
      <c r="B31" s="159"/>
      <c r="C31" s="160"/>
      <c r="D31" s="161"/>
      <c r="E31" s="162"/>
      <c r="F31" s="163"/>
      <c r="H31" s="167"/>
      <c r="I31" s="167"/>
      <c r="J31" s="167"/>
      <c r="K31" s="167"/>
    </row>
    <row r="32" spans="1:11" s="134" customFormat="1" ht="19.5" customHeight="1" thickBot="1">
      <c r="A32" s="169"/>
      <c r="B32" s="170"/>
      <c r="C32" s="171"/>
      <c r="D32" s="172"/>
      <c r="E32" s="173"/>
      <c r="F32" s="174"/>
      <c r="H32" s="167"/>
      <c r="I32" s="167"/>
      <c r="J32" s="167"/>
      <c r="K32" s="167"/>
    </row>
    <row r="33" spans="2:11" s="134" customFormat="1" ht="19.5" customHeight="1">
      <c r="B33" s="159"/>
      <c r="C33" s="160"/>
      <c r="D33" s="161"/>
      <c r="E33" s="162"/>
      <c r="F33" s="163"/>
      <c r="H33" s="167"/>
      <c r="I33" s="167"/>
      <c r="J33" s="167"/>
      <c r="K33" s="167"/>
    </row>
    <row r="34" spans="2:6" s="134" customFormat="1" ht="19.5" customHeight="1">
      <c r="B34" s="159"/>
      <c r="C34" s="166"/>
      <c r="D34" s="161"/>
      <c r="E34" s="162"/>
      <c r="F34" s="163"/>
    </row>
    <row r="35" spans="2:6" s="134" customFormat="1" ht="19.5" customHeight="1">
      <c r="B35" s="159"/>
      <c r="C35" s="166"/>
      <c r="D35" s="161"/>
      <c r="E35" s="162"/>
      <c r="F35" s="163"/>
    </row>
    <row r="36" spans="2:6" s="134" customFormat="1" ht="19.5" customHeight="1">
      <c r="B36" s="159"/>
      <c r="C36" s="159"/>
      <c r="E36" s="162"/>
      <c r="F36" s="163"/>
    </row>
    <row r="37" spans="2:6" s="134" customFormat="1" ht="19.5" customHeight="1">
      <c r="B37" s="159"/>
      <c r="C37" s="166"/>
      <c r="E37" s="175"/>
      <c r="F37" s="163"/>
    </row>
    <row r="38" spans="2:6" s="134" customFormat="1" ht="19.5" customHeight="1">
      <c r="B38" s="159"/>
      <c r="C38" s="159"/>
      <c r="E38" s="175"/>
      <c r="F38" s="163"/>
    </row>
    <row r="39" spans="2:6" s="134" customFormat="1" ht="19.5" customHeight="1">
      <c r="B39" s="159"/>
      <c r="C39" s="159"/>
      <c r="E39" s="175"/>
      <c r="F39" s="163"/>
    </row>
    <row r="40" spans="2:6" s="134" customFormat="1" ht="19.5" customHeight="1">
      <c r="B40" s="159"/>
      <c r="C40" s="159"/>
      <c r="E40" s="175"/>
      <c r="F40" s="163"/>
    </row>
    <row r="41" spans="2:6" s="134" customFormat="1" ht="19.5" customHeight="1">
      <c r="B41" s="159"/>
      <c r="C41" s="159"/>
      <c r="E41" s="175"/>
      <c r="F41" s="163"/>
    </row>
    <row r="42" spans="2:6" s="134" customFormat="1" ht="19.5" customHeight="1">
      <c r="B42" s="159"/>
      <c r="C42" s="159"/>
      <c r="E42" s="175"/>
      <c r="F42" s="163"/>
    </row>
    <row r="43" spans="2:6" s="134" customFormat="1" ht="19.5" customHeight="1">
      <c r="B43" s="159"/>
      <c r="C43" s="159"/>
      <c r="E43" s="163"/>
      <c r="F43" s="163"/>
    </row>
    <row r="44" spans="2:6" s="134" customFormat="1" ht="19.5" customHeight="1">
      <c r="B44" s="159"/>
      <c r="C44" s="159"/>
      <c r="E44" s="163"/>
      <c r="F44" s="163"/>
    </row>
    <row r="45" spans="2:6" s="134" customFormat="1" ht="19.5" customHeight="1">
      <c r="B45" s="159"/>
      <c r="C45" s="159"/>
      <c r="E45" s="163"/>
      <c r="F45" s="163"/>
    </row>
    <row r="46" spans="2:6" s="134" customFormat="1" ht="19.5" customHeight="1">
      <c r="B46" s="159"/>
      <c r="C46" s="159"/>
      <c r="E46" s="163"/>
      <c r="F46" s="163"/>
    </row>
    <row r="47" spans="2:6" s="134" customFormat="1" ht="19.5" customHeight="1">
      <c r="B47" s="159"/>
      <c r="C47" s="159"/>
      <c r="E47" s="163"/>
      <c r="F47" s="163"/>
    </row>
    <row r="48" spans="2:6" s="134" customFormat="1" ht="19.5" customHeight="1">
      <c r="B48" s="159"/>
      <c r="C48" s="159"/>
      <c r="E48" s="163"/>
      <c r="F48" s="163"/>
    </row>
    <row r="49" spans="2:6" s="134" customFormat="1" ht="19.5" customHeight="1">
      <c r="B49" s="159"/>
      <c r="C49" s="159"/>
      <c r="E49" s="163"/>
      <c r="F49" s="163"/>
    </row>
    <row r="50" spans="2:6" s="134" customFormat="1" ht="19.5" customHeight="1">
      <c r="B50" s="159"/>
      <c r="C50" s="159"/>
      <c r="E50" s="163"/>
      <c r="F50" s="163"/>
    </row>
    <row r="51" spans="2:6" s="134" customFormat="1" ht="19.5" customHeight="1">
      <c r="B51" s="159"/>
      <c r="C51" s="159"/>
      <c r="E51" s="163"/>
      <c r="F51" s="163"/>
    </row>
    <row r="52" spans="2:6" s="134" customFormat="1" ht="19.5" customHeight="1">
      <c r="B52" s="159"/>
      <c r="C52" s="159"/>
      <c r="E52" s="163"/>
      <c r="F52" s="163"/>
    </row>
    <row r="53" spans="2:6" s="134" customFormat="1" ht="19.5" customHeight="1">
      <c r="B53" s="159"/>
      <c r="C53" s="159"/>
      <c r="E53" s="163"/>
      <c r="F53" s="163"/>
    </row>
    <row r="54" spans="2:6" s="134" customFormat="1" ht="19.5" customHeight="1">
      <c r="B54" s="159"/>
      <c r="C54" s="159"/>
      <c r="E54" s="163"/>
      <c r="F54" s="163"/>
    </row>
    <row r="55" spans="2:6" s="134" customFormat="1" ht="19.5" customHeight="1">
      <c r="B55" s="159"/>
      <c r="C55" s="159"/>
      <c r="E55" s="163"/>
      <c r="F55" s="163"/>
    </row>
    <row r="56" spans="2:6" s="134" customFormat="1" ht="19.5" customHeight="1">
      <c r="B56" s="159"/>
      <c r="C56" s="159"/>
      <c r="E56" s="163"/>
      <c r="F56" s="163"/>
    </row>
    <row r="57" spans="2:6" s="134" customFormat="1" ht="19.5" customHeight="1">
      <c r="B57" s="159"/>
      <c r="C57" s="159"/>
      <c r="E57" s="163"/>
      <c r="F57" s="163"/>
    </row>
    <row r="58" spans="2:6" s="134" customFormat="1" ht="19.5" customHeight="1">
      <c r="B58" s="159"/>
      <c r="C58" s="159"/>
      <c r="E58" s="163"/>
      <c r="F58" s="163"/>
    </row>
    <row r="59" spans="2:6" s="134" customFormat="1" ht="19.5" customHeight="1">
      <c r="B59" s="159"/>
      <c r="C59" s="159"/>
      <c r="E59" s="163"/>
      <c r="F59" s="163"/>
    </row>
    <row r="60" spans="2:6" s="134" customFormat="1" ht="19.5" customHeight="1">
      <c r="B60" s="159"/>
      <c r="C60" s="159"/>
      <c r="E60" s="163"/>
      <c r="F60" s="163"/>
    </row>
    <row r="61" spans="2:6" s="134" customFormat="1" ht="19.5" customHeight="1">
      <c r="B61" s="159"/>
      <c r="C61" s="159"/>
      <c r="E61" s="163"/>
      <c r="F61" s="163"/>
    </row>
    <row r="62" spans="2:6" s="134" customFormat="1" ht="19.5" customHeight="1">
      <c r="B62" s="159"/>
      <c r="C62" s="159"/>
      <c r="E62" s="163"/>
      <c r="F62" s="163"/>
    </row>
    <row r="63" spans="2:6" s="134" customFormat="1" ht="19.5" customHeight="1">
      <c r="B63" s="159"/>
      <c r="C63" s="159"/>
      <c r="E63" s="163"/>
      <c r="F63" s="163"/>
    </row>
    <row r="64" spans="2:6" s="134" customFormat="1" ht="19.5" customHeight="1">
      <c r="B64" s="159"/>
      <c r="C64" s="159"/>
      <c r="E64" s="163"/>
      <c r="F64" s="163"/>
    </row>
    <row r="65" spans="2:6" s="134" customFormat="1" ht="19.5" customHeight="1">
      <c r="B65" s="159"/>
      <c r="C65" s="159"/>
      <c r="E65" s="163"/>
      <c r="F65" s="163"/>
    </row>
    <row r="66" spans="2:6" s="134" customFormat="1" ht="19.5" customHeight="1">
      <c r="B66" s="159"/>
      <c r="C66" s="159"/>
      <c r="E66" s="163"/>
      <c r="F66" s="163"/>
    </row>
    <row r="67" spans="2:6" s="134" customFormat="1" ht="19.5" customHeight="1">
      <c r="B67" s="159"/>
      <c r="C67" s="159"/>
      <c r="E67" s="163"/>
      <c r="F67" s="163"/>
    </row>
    <row r="68" spans="2:6" s="134" customFormat="1" ht="19.5" customHeight="1">
      <c r="B68" s="159"/>
      <c r="C68" s="159"/>
      <c r="E68" s="163"/>
      <c r="F68" s="163"/>
    </row>
    <row r="69" spans="2:6" s="134" customFormat="1" ht="19.5" customHeight="1">
      <c r="B69" s="159"/>
      <c r="C69" s="159"/>
      <c r="E69" s="163"/>
      <c r="F69" s="163"/>
    </row>
    <row r="70" spans="2:6" s="134" customFormat="1" ht="19.5" customHeight="1">
      <c r="B70" s="159"/>
      <c r="C70" s="159"/>
      <c r="E70" s="163"/>
      <c r="F70" s="163"/>
    </row>
    <row r="71" spans="2:6" s="134" customFormat="1" ht="19.5" customHeight="1">
      <c r="B71" s="159"/>
      <c r="C71" s="159"/>
      <c r="E71" s="163"/>
      <c r="F71" s="163"/>
    </row>
    <row r="72" spans="2:6" s="134" customFormat="1" ht="19.5" customHeight="1">
      <c r="B72" s="159"/>
      <c r="C72" s="159"/>
      <c r="E72" s="163"/>
      <c r="F72" s="163"/>
    </row>
    <row r="73" spans="2:6" s="134" customFormat="1" ht="19.5" customHeight="1">
      <c r="B73" s="159"/>
      <c r="C73" s="159"/>
      <c r="E73" s="163"/>
      <c r="F73" s="163"/>
    </row>
    <row r="74" spans="2:6" s="134" customFormat="1" ht="19.5" customHeight="1">
      <c r="B74" s="159"/>
      <c r="C74" s="159"/>
      <c r="E74" s="163"/>
      <c r="F74" s="163"/>
    </row>
    <row r="75" spans="2:6" s="134" customFormat="1" ht="19.5" customHeight="1">
      <c r="B75" s="159"/>
      <c r="C75" s="159"/>
      <c r="E75" s="163"/>
      <c r="F75" s="163"/>
    </row>
    <row r="76" spans="2:6" s="134" customFormat="1" ht="19.5" customHeight="1">
      <c r="B76" s="159"/>
      <c r="C76" s="159"/>
      <c r="E76" s="163"/>
      <c r="F76" s="163"/>
    </row>
    <row r="77" spans="2:6" s="134" customFormat="1" ht="19.5" customHeight="1">
      <c r="B77" s="159"/>
      <c r="C77" s="159"/>
      <c r="E77" s="163"/>
      <c r="F77" s="163"/>
    </row>
    <row r="78" spans="2:6" s="134" customFormat="1" ht="19.5" customHeight="1">
      <c r="B78" s="159"/>
      <c r="C78" s="159"/>
      <c r="E78" s="163"/>
      <c r="F78" s="163"/>
    </row>
    <row r="79" spans="2:6" s="134" customFormat="1" ht="19.5" customHeight="1">
      <c r="B79" s="159"/>
      <c r="C79" s="159"/>
      <c r="E79" s="163"/>
      <c r="F79" s="163"/>
    </row>
    <row r="80" spans="2:6" s="134" customFormat="1" ht="19.5" customHeight="1">
      <c r="B80" s="159"/>
      <c r="C80" s="159"/>
      <c r="E80" s="163"/>
      <c r="F80" s="163"/>
    </row>
    <row r="81" spans="2:6" s="134" customFormat="1" ht="19.5" customHeight="1">
      <c r="B81" s="159"/>
      <c r="C81" s="159"/>
      <c r="E81" s="163"/>
      <c r="F81" s="163"/>
    </row>
    <row r="82" spans="2:6" s="134" customFormat="1" ht="19.5" customHeight="1">
      <c r="B82" s="159"/>
      <c r="C82" s="159"/>
      <c r="E82" s="163"/>
      <c r="F82" s="163"/>
    </row>
    <row r="83" spans="2:6" s="134" customFormat="1" ht="19.5" customHeight="1">
      <c r="B83" s="159"/>
      <c r="C83" s="159"/>
      <c r="E83" s="163"/>
      <c r="F83" s="163"/>
    </row>
    <row r="84" spans="2:6" s="134" customFormat="1" ht="19.5" customHeight="1">
      <c r="B84" s="159"/>
      <c r="C84" s="159"/>
      <c r="E84" s="163"/>
      <c r="F84" s="163"/>
    </row>
    <row r="85" spans="2:6" s="134" customFormat="1" ht="19.5" customHeight="1">
      <c r="B85" s="159"/>
      <c r="C85" s="159"/>
      <c r="E85" s="163"/>
      <c r="F85" s="163"/>
    </row>
    <row r="86" spans="2:6" s="134" customFormat="1" ht="19.5" customHeight="1">
      <c r="B86" s="159"/>
      <c r="C86" s="159"/>
      <c r="E86" s="163"/>
      <c r="F86" s="163"/>
    </row>
    <row r="87" spans="2:6" s="134" customFormat="1" ht="19.5" customHeight="1">
      <c r="B87" s="159"/>
      <c r="C87" s="159"/>
      <c r="E87" s="163"/>
      <c r="F87" s="163"/>
    </row>
    <row r="88" spans="2:6" s="134" customFormat="1" ht="19.5" customHeight="1">
      <c r="B88" s="159"/>
      <c r="C88" s="159"/>
      <c r="E88" s="163"/>
      <c r="F88" s="163"/>
    </row>
    <row r="89" spans="2:6" s="134" customFormat="1" ht="19.5" customHeight="1">
      <c r="B89" s="159"/>
      <c r="C89" s="159"/>
      <c r="E89" s="163"/>
      <c r="F89" s="163"/>
    </row>
    <row r="90" spans="2:6" s="134" customFormat="1" ht="19.5" customHeight="1">
      <c r="B90" s="159"/>
      <c r="C90" s="159"/>
      <c r="E90" s="163"/>
      <c r="F90" s="163"/>
    </row>
    <row r="91" spans="2:6" s="134" customFormat="1" ht="19.5" customHeight="1">
      <c r="B91" s="159"/>
      <c r="C91" s="159"/>
      <c r="E91" s="163"/>
      <c r="F91" s="163"/>
    </row>
    <row r="92" spans="2:6" s="134" customFormat="1" ht="19.5" customHeight="1">
      <c r="B92" s="159"/>
      <c r="C92" s="159"/>
      <c r="E92" s="163"/>
      <c r="F92" s="163"/>
    </row>
    <row r="93" spans="2:6" s="134" customFormat="1" ht="19.5" customHeight="1">
      <c r="B93" s="159"/>
      <c r="C93" s="159"/>
      <c r="E93" s="163"/>
      <c r="F93" s="163"/>
    </row>
    <row r="94" spans="2:6" s="134" customFormat="1" ht="19.5" customHeight="1">
      <c r="B94" s="159"/>
      <c r="C94" s="159"/>
      <c r="E94" s="163"/>
      <c r="F94" s="163"/>
    </row>
    <row r="95" spans="2:6" s="134" customFormat="1" ht="19.5" customHeight="1">
      <c r="B95" s="159"/>
      <c r="C95" s="159"/>
      <c r="E95" s="163"/>
      <c r="F95" s="163"/>
    </row>
    <row r="96" spans="2:6" s="134" customFormat="1" ht="19.5" customHeight="1">
      <c r="B96" s="159"/>
      <c r="C96" s="159"/>
      <c r="E96" s="163"/>
      <c r="F96" s="163"/>
    </row>
    <row r="97" spans="2:6" s="134" customFormat="1" ht="19.5" customHeight="1">
      <c r="B97" s="159"/>
      <c r="C97" s="159"/>
      <c r="E97" s="163"/>
      <c r="F97" s="163"/>
    </row>
    <row r="98" spans="2:6" s="134" customFormat="1" ht="19.5" customHeight="1">
      <c r="B98" s="159"/>
      <c r="C98" s="159"/>
      <c r="E98" s="163"/>
      <c r="F98" s="163"/>
    </row>
    <row r="99" spans="2:6" s="134" customFormat="1" ht="19.5" customHeight="1">
      <c r="B99" s="159"/>
      <c r="C99" s="159"/>
      <c r="E99" s="163"/>
      <c r="F99" s="163"/>
    </row>
    <row r="100" spans="2:6" s="134" customFormat="1" ht="19.5" customHeight="1">
      <c r="B100" s="159"/>
      <c r="C100" s="159"/>
      <c r="E100" s="163"/>
      <c r="F100" s="163"/>
    </row>
    <row r="101" spans="2:6" s="134" customFormat="1" ht="19.5" customHeight="1">
      <c r="B101" s="159"/>
      <c r="C101" s="159"/>
      <c r="E101" s="163"/>
      <c r="F101" s="163"/>
    </row>
    <row r="102" spans="2:6" s="134" customFormat="1" ht="19.5" customHeight="1">
      <c r="B102" s="159"/>
      <c r="C102" s="159"/>
      <c r="E102" s="163"/>
      <c r="F102" s="163"/>
    </row>
    <row r="103" spans="2:6" s="134" customFormat="1" ht="19.5" customHeight="1">
      <c r="B103" s="159"/>
      <c r="C103" s="159"/>
      <c r="E103" s="163"/>
      <c r="F103" s="163"/>
    </row>
    <row r="104" spans="2:6" s="134" customFormat="1" ht="19.5" customHeight="1">
      <c r="B104" s="159"/>
      <c r="C104" s="159"/>
      <c r="E104" s="163"/>
      <c r="F104" s="163"/>
    </row>
    <row r="105" spans="2:6" s="134" customFormat="1" ht="19.5" customHeight="1">
      <c r="B105" s="159"/>
      <c r="C105" s="159"/>
      <c r="E105" s="163"/>
      <c r="F105" s="163"/>
    </row>
    <row r="106" spans="2:6" s="134" customFormat="1" ht="19.5" customHeight="1">
      <c r="B106" s="159"/>
      <c r="C106" s="159"/>
      <c r="E106" s="163"/>
      <c r="F106" s="163"/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</sheetData>
  <sheetProtection/>
  <mergeCells count="1">
    <mergeCell ref="D4:F4"/>
  </mergeCells>
  <conditionalFormatting sqref="F7:F26">
    <cfRule type="cellIs" priority="2" dxfId="23" operator="greaterThan" stopIfTrue="1">
      <formula>0.01</formula>
    </cfRule>
  </conditionalFormatting>
  <conditionalFormatting sqref="F6">
    <cfRule type="cellIs" priority="1" dxfId="23" operator="greaterThan" stopIfTrue="1">
      <formula>0.01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2:Q203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F48" sqref="F48"/>
    </sheetView>
  </sheetViews>
  <sheetFormatPr defaultColWidth="9.00390625" defaultRowHeight="12.75"/>
  <cols>
    <col min="1" max="1" width="4.375" style="78" bestFit="1" customWidth="1"/>
    <col min="2" max="2" width="35.25390625" style="79" bestFit="1" customWidth="1"/>
    <col min="3" max="4" width="6.125" style="78" bestFit="1" customWidth="1"/>
    <col min="5" max="5" width="12.125" style="78" bestFit="1" customWidth="1"/>
    <col min="6" max="6" width="37.75390625" style="80" bestFit="1" customWidth="1"/>
    <col min="7" max="7" width="16.875" style="228" bestFit="1" customWidth="1"/>
    <col min="8" max="8" width="9.125" style="111" customWidth="1"/>
    <col min="9" max="9" width="6.75390625" style="74" customWidth="1"/>
    <col min="10" max="10" width="9.125" style="75" customWidth="1"/>
    <col min="11" max="11" width="6.75390625" style="76" customWidth="1"/>
    <col min="12" max="12" width="9.125" style="75" customWidth="1"/>
    <col min="13" max="13" width="6.75390625" style="76" customWidth="1"/>
    <col min="14" max="16384" width="9.125" style="77" customWidth="1"/>
  </cols>
  <sheetData>
    <row r="2" spans="1:7" ht="20.25">
      <c r="A2" s="238" t="s">
        <v>856</v>
      </c>
      <c r="B2" s="238"/>
      <c r="C2" s="238"/>
      <c r="D2" s="238"/>
      <c r="E2" s="238"/>
      <c r="F2" s="238"/>
      <c r="G2" s="238"/>
    </row>
    <row r="3" ht="12.75">
      <c r="H3" s="111" t="s">
        <v>596</v>
      </c>
    </row>
    <row r="4" spans="1:13" ht="27.75">
      <c r="A4" s="81" t="s">
        <v>0</v>
      </c>
      <c r="B4" s="82" t="s">
        <v>1</v>
      </c>
      <c r="C4" s="81" t="s">
        <v>2</v>
      </c>
      <c r="D4" s="81" t="s">
        <v>3</v>
      </c>
      <c r="E4" s="81" t="s">
        <v>4</v>
      </c>
      <c r="F4" s="83" t="s">
        <v>5</v>
      </c>
      <c r="G4" s="229" t="s">
        <v>858</v>
      </c>
      <c r="H4" s="225" t="s">
        <v>671</v>
      </c>
      <c r="I4" s="84" t="s">
        <v>860</v>
      </c>
      <c r="J4" s="83" t="s">
        <v>672</v>
      </c>
      <c r="K4" s="84" t="s">
        <v>861</v>
      </c>
      <c r="L4" s="83" t="s">
        <v>673</v>
      </c>
      <c r="M4" s="84" t="s">
        <v>862</v>
      </c>
    </row>
    <row r="6" spans="1:13" ht="13.5" thickBot="1">
      <c r="A6" s="85" t="s">
        <v>6</v>
      </c>
      <c r="B6" s="86" t="s">
        <v>7</v>
      </c>
      <c r="C6" s="85" t="s">
        <v>8</v>
      </c>
      <c r="D6" s="85" t="s">
        <v>9</v>
      </c>
      <c r="E6" s="85" t="s">
        <v>10</v>
      </c>
      <c r="F6" s="87" t="s">
        <v>7</v>
      </c>
      <c r="G6" s="230">
        <v>44931</v>
      </c>
      <c r="H6" s="111">
        <v>44931</v>
      </c>
      <c r="I6" s="88">
        <f>IF(H6=0,0,$G6/H6)</f>
        <v>1</v>
      </c>
      <c r="J6" s="75">
        <v>45171</v>
      </c>
      <c r="K6" s="89">
        <f>IF(J6=0,0,$G6/J6)</f>
        <v>0.9946868566115428</v>
      </c>
      <c r="L6" s="75">
        <v>37642.8</v>
      </c>
      <c r="M6" s="89">
        <f>IF(L6=0,0,$G6/L6)</f>
        <v>1.193614715164653</v>
      </c>
    </row>
    <row r="7" spans="1:13" ht="12.75">
      <c r="A7" s="90"/>
      <c r="B7" s="91" t="s">
        <v>11</v>
      </c>
      <c r="C7" s="90" t="s">
        <v>8</v>
      </c>
      <c r="D7" s="90"/>
      <c r="E7" s="90"/>
      <c r="F7" s="92"/>
      <c r="G7" s="231">
        <f>SUM(G6)</f>
        <v>44931</v>
      </c>
      <c r="H7" s="93">
        <f>SUM(H6)</f>
        <v>44931</v>
      </c>
      <c r="I7" s="94">
        <f>IF(H7=0,0,$G7/H7)</f>
        <v>1</v>
      </c>
      <c r="J7" s="93">
        <f>SUM(J6)</f>
        <v>45171</v>
      </c>
      <c r="K7" s="94">
        <f>IF(J7=0,0,$G7/J7)</f>
        <v>0.9946868566115428</v>
      </c>
      <c r="L7" s="93">
        <f>SUM(L6)</f>
        <v>37642.8</v>
      </c>
      <c r="M7" s="94">
        <f>IF(L7=0,0,$G7/L7)</f>
        <v>1.193614715164653</v>
      </c>
    </row>
    <row r="8" spans="8:13" ht="12.75">
      <c r="H8" s="226"/>
      <c r="I8" s="88"/>
      <c r="J8" s="80"/>
      <c r="K8" s="89"/>
      <c r="L8" s="80"/>
      <c r="M8" s="89"/>
    </row>
    <row r="9" spans="1:13" ht="12.75">
      <c r="A9" s="81"/>
      <c r="B9" s="95" t="s">
        <v>12</v>
      </c>
      <c r="C9" s="81"/>
      <c r="D9" s="81"/>
      <c r="E9" s="81"/>
      <c r="F9" s="96"/>
      <c r="G9" s="232">
        <f>SUM(G7)</f>
        <v>44931</v>
      </c>
      <c r="H9" s="103">
        <f>SUM(H7)</f>
        <v>44931</v>
      </c>
      <c r="I9" s="98">
        <f>IF(H9=0,0,$G9/H9)</f>
        <v>1</v>
      </c>
      <c r="J9" s="97">
        <f>SUM(J7)</f>
        <v>45171</v>
      </c>
      <c r="K9" s="99">
        <f>IF(J9=0,0,$G9/J9)</f>
        <v>0.9946868566115428</v>
      </c>
      <c r="L9" s="97">
        <f>SUM(L7)</f>
        <v>37642.8</v>
      </c>
      <c r="M9" s="99">
        <f>IF(L9=0,0,$G9/L9)</f>
        <v>1.193614715164653</v>
      </c>
    </row>
    <row r="10" spans="9:13" ht="12.75">
      <c r="I10" s="88"/>
      <c r="K10" s="89"/>
      <c r="M10" s="89"/>
    </row>
    <row r="11" spans="9:13" ht="12.75">
      <c r="I11" s="88"/>
      <c r="K11" s="89"/>
      <c r="M11" s="89"/>
    </row>
    <row r="12" spans="1:13" ht="13.5" thickBot="1">
      <c r="A12" s="85" t="s">
        <v>13</v>
      </c>
      <c r="B12" s="86" t="s">
        <v>14</v>
      </c>
      <c r="C12" s="85" t="s">
        <v>15</v>
      </c>
      <c r="D12" s="85" t="s">
        <v>16</v>
      </c>
      <c r="E12" s="85" t="s">
        <v>10</v>
      </c>
      <c r="F12" s="87" t="s">
        <v>17</v>
      </c>
      <c r="G12" s="230">
        <v>3500</v>
      </c>
      <c r="H12" s="111">
        <v>3900</v>
      </c>
      <c r="I12" s="88">
        <f>IF(H12=0,0,$G12/H12)</f>
        <v>0.8974358974358975</v>
      </c>
      <c r="J12" s="75">
        <v>3900</v>
      </c>
      <c r="K12" s="89">
        <f>IF(J12=0,0,$G12/J12)</f>
        <v>0.8974358974358975</v>
      </c>
      <c r="L12" s="75">
        <v>2434.083</v>
      </c>
      <c r="M12" s="89">
        <f>IF(L12=0,0,$G12/L12)</f>
        <v>1.4379131689428832</v>
      </c>
    </row>
    <row r="13" spans="1:13" ht="12.75">
      <c r="A13" s="90"/>
      <c r="B13" s="91" t="s">
        <v>11</v>
      </c>
      <c r="C13" s="90" t="s">
        <v>15</v>
      </c>
      <c r="D13" s="90"/>
      <c r="E13" s="90"/>
      <c r="F13" s="92"/>
      <c r="G13" s="231">
        <f>SUM(G12)</f>
        <v>3500</v>
      </c>
      <c r="H13" s="93">
        <f>SUM(H12)</f>
        <v>3900</v>
      </c>
      <c r="I13" s="94">
        <f>IF(H13=0,0,$G13/H13)</f>
        <v>0.8974358974358975</v>
      </c>
      <c r="J13" s="93">
        <f>SUM(J12)</f>
        <v>3900</v>
      </c>
      <c r="K13" s="94">
        <f>IF(J13=0,0,$G13/J13)</f>
        <v>0.8974358974358975</v>
      </c>
      <c r="L13" s="93">
        <f>SUM(L12)</f>
        <v>2434.083</v>
      </c>
      <c r="M13" s="94">
        <f>IF(L13=0,0,$G13/L13)</f>
        <v>1.4379131689428832</v>
      </c>
    </row>
    <row r="14" spans="9:13" ht="12.75">
      <c r="I14" s="88"/>
      <c r="K14" s="89"/>
      <c r="M14" s="89"/>
    </row>
    <row r="15" spans="1:13" ht="12.75">
      <c r="A15" s="85" t="s">
        <v>13</v>
      </c>
      <c r="B15" s="86" t="s">
        <v>14</v>
      </c>
      <c r="C15" s="85" t="s">
        <v>18</v>
      </c>
      <c r="D15" s="85" t="s">
        <v>19</v>
      </c>
      <c r="E15" s="85" t="s">
        <v>10</v>
      </c>
      <c r="F15" s="87" t="s">
        <v>20</v>
      </c>
      <c r="G15" s="230">
        <v>10</v>
      </c>
      <c r="H15" s="111">
        <v>30</v>
      </c>
      <c r="I15" s="88">
        <f>IF(H15=0,0,$G15/H15)</f>
        <v>0.3333333333333333</v>
      </c>
      <c r="J15" s="75">
        <v>30</v>
      </c>
      <c r="K15" s="89">
        <f>IF(J15=0,0,$G15/J15)</f>
        <v>0.3333333333333333</v>
      </c>
      <c r="L15" s="75">
        <v>17.134</v>
      </c>
      <c r="M15" s="89">
        <f>IF(L15=0,0,$G15/L15)</f>
        <v>0.5836348780203104</v>
      </c>
    </row>
    <row r="16" spans="1:13" ht="12.75">
      <c r="A16" s="85" t="s">
        <v>13</v>
      </c>
      <c r="B16" s="86" t="s">
        <v>14</v>
      </c>
      <c r="C16" s="85" t="s">
        <v>18</v>
      </c>
      <c r="D16" s="85" t="s">
        <v>16</v>
      </c>
      <c r="E16" s="85" t="s">
        <v>10</v>
      </c>
      <c r="F16" s="87" t="s">
        <v>21</v>
      </c>
      <c r="G16" s="230">
        <v>30</v>
      </c>
      <c r="H16" s="111">
        <v>0</v>
      </c>
      <c r="I16" s="88">
        <f>IF(H16=0,0,$G16/H16)</f>
        <v>0</v>
      </c>
      <c r="J16" s="75">
        <v>0</v>
      </c>
      <c r="K16" s="89">
        <f>IF(J16=0,0,$G16/J16)</f>
        <v>0</v>
      </c>
      <c r="L16" s="75">
        <v>920.659</v>
      </c>
      <c r="M16" s="89">
        <f>IF(L16=0,0,$G16/L16)</f>
        <v>0.03258535462098345</v>
      </c>
    </row>
    <row r="17" spans="1:13" ht="13.5" thickBot="1">
      <c r="A17" s="85" t="s">
        <v>13</v>
      </c>
      <c r="B17" s="86" t="s">
        <v>14</v>
      </c>
      <c r="C17" s="85" t="s">
        <v>18</v>
      </c>
      <c r="D17" s="85" t="s">
        <v>22</v>
      </c>
      <c r="E17" s="85" t="s">
        <v>10</v>
      </c>
      <c r="F17" s="87" t="s">
        <v>23</v>
      </c>
      <c r="G17" s="230">
        <v>300</v>
      </c>
      <c r="H17" s="111">
        <v>200</v>
      </c>
      <c r="I17" s="88">
        <f>IF(H17=0,0,$G17/H17)</f>
        <v>1.5</v>
      </c>
      <c r="J17" s="75">
        <v>200</v>
      </c>
      <c r="K17" s="89">
        <f>IF(J17=0,0,$G17/J17)</f>
        <v>1.5</v>
      </c>
      <c r="L17" s="75">
        <v>253.275</v>
      </c>
      <c r="M17" s="89">
        <f>IF(L17=0,0,$G17/L17)</f>
        <v>1.184483269173823</v>
      </c>
    </row>
    <row r="18" spans="1:13" ht="12.75">
      <c r="A18" s="90"/>
      <c r="B18" s="91" t="s">
        <v>11</v>
      </c>
      <c r="C18" s="90" t="s">
        <v>18</v>
      </c>
      <c r="D18" s="90"/>
      <c r="E18" s="90"/>
      <c r="F18" s="92"/>
      <c r="G18" s="231">
        <f>SUM(G15:G17)</f>
        <v>340</v>
      </c>
      <c r="H18" s="93">
        <f>SUM(H15:H17)</f>
        <v>230</v>
      </c>
      <c r="I18" s="94">
        <f>IF(H18=0,0,$G18/H18)</f>
        <v>1.4782608695652173</v>
      </c>
      <c r="J18" s="93">
        <f>SUM(J15:J17)</f>
        <v>230</v>
      </c>
      <c r="K18" s="94">
        <f>IF(J18=0,0,$G18/J18)</f>
        <v>1.4782608695652173</v>
      </c>
      <c r="L18" s="93">
        <f>SUM(L15:L17)</f>
        <v>1191.068</v>
      </c>
      <c r="M18" s="94">
        <f>IF(L18=0,0,$G18/L18)</f>
        <v>0.28545809307277165</v>
      </c>
    </row>
    <row r="19" spans="8:13" ht="12.75">
      <c r="H19" s="226"/>
      <c r="I19" s="88"/>
      <c r="J19" s="80"/>
      <c r="K19" s="89"/>
      <c r="L19" s="80"/>
      <c r="M19" s="89"/>
    </row>
    <row r="20" spans="1:13" ht="12.75">
      <c r="A20" s="81"/>
      <c r="B20" s="95" t="s">
        <v>24</v>
      </c>
      <c r="C20" s="81"/>
      <c r="D20" s="81"/>
      <c r="E20" s="81"/>
      <c r="F20" s="96"/>
      <c r="G20" s="232">
        <f>SUM(G13,G18)</f>
        <v>3840</v>
      </c>
      <c r="H20" s="103">
        <f>SUM(H13,H18)</f>
        <v>4130</v>
      </c>
      <c r="I20" s="98">
        <f>IF(H20=0,0,$G20/H20)</f>
        <v>0.9297820823244553</v>
      </c>
      <c r="J20" s="97">
        <f>SUM(J13,J18)</f>
        <v>4130</v>
      </c>
      <c r="K20" s="99">
        <f>IF(J20=0,0,$G20/J20)</f>
        <v>0.9297820823244553</v>
      </c>
      <c r="L20" s="97">
        <f>SUM(L13,L18)</f>
        <v>3625.151</v>
      </c>
      <c r="M20" s="99">
        <f>IF(L20=0,0,$G20/L20)</f>
        <v>1.0592662209105221</v>
      </c>
    </row>
    <row r="21" spans="9:13" ht="12.75">
      <c r="I21" s="88"/>
      <c r="K21" s="89"/>
      <c r="M21" s="89"/>
    </row>
    <row r="22" spans="9:13" ht="12.75">
      <c r="I22" s="88"/>
      <c r="K22" s="89"/>
      <c r="M22" s="89"/>
    </row>
    <row r="23" spans="1:13" ht="13.5" thickBot="1">
      <c r="A23" s="85" t="s">
        <v>25</v>
      </c>
      <c r="B23" s="86" t="s">
        <v>26</v>
      </c>
      <c r="C23" s="85" t="s">
        <v>8</v>
      </c>
      <c r="D23" s="85" t="s">
        <v>27</v>
      </c>
      <c r="E23" s="85" t="s">
        <v>10</v>
      </c>
      <c r="F23" s="87" t="s">
        <v>28</v>
      </c>
      <c r="G23" s="230">
        <v>20000</v>
      </c>
      <c r="H23" s="111">
        <v>18413</v>
      </c>
      <c r="I23" s="88">
        <f>IF(H23=0,0,$G23/H23)</f>
        <v>1.0861891055232715</v>
      </c>
      <c r="J23" s="75">
        <v>18413</v>
      </c>
      <c r="K23" s="89">
        <f>IF(J23=0,0,$G23/J23)</f>
        <v>1.0861891055232715</v>
      </c>
      <c r="L23" s="75">
        <v>17469.28</v>
      </c>
      <c r="M23" s="89">
        <f>IF(L23=0,0,$G23/L23)</f>
        <v>1.144866874879789</v>
      </c>
    </row>
    <row r="24" spans="1:13" ht="12.75">
      <c r="A24" s="90"/>
      <c r="B24" s="91" t="s">
        <v>11</v>
      </c>
      <c r="C24" s="90" t="s">
        <v>8</v>
      </c>
      <c r="D24" s="90"/>
      <c r="E24" s="90"/>
      <c r="F24" s="92"/>
      <c r="G24" s="231">
        <f>SUM(G23)</f>
        <v>20000</v>
      </c>
      <c r="H24" s="93">
        <f>SUM(H23)</f>
        <v>18413</v>
      </c>
      <c r="I24" s="94">
        <f>IF(H24=0,0,$G24/H24)</f>
        <v>1.0861891055232715</v>
      </c>
      <c r="J24" s="93">
        <f>SUM(J23)</f>
        <v>18413</v>
      </c>
      <c r="K24" s="94">
        <f>IF(J24=0,0,$G24/J24)</f>
        <v>1.0861891055232715</v>
      </c>
      <c r="L24" s="93">
        <f>SUM(L23)</f>
        <v>17469.28</v>
      </c>
      <c r="M24" s="94">
        <f>IF(L24=0,0,$G24/L24)</f>
        <v>1.144866874879789</v>
      </c>
    </row>
    <row r="25" spans="9:13" ht="12.75">
      <c r="I25" s="88"/>
      <c r="K25" s="89"/>
      <c r="M25" s="89"/>
    </row>
    <row r="26" spans="1:13" ht="13.5" thickBot="1">
      <c r="A26" s="85" t="s">
        <v>25</v>
      </c>
      <c r="B26" s="86" t="s">
        <v>26</v>
      </c>
      <c r="C26" s="85" t="s">
        <v>15</v>
      </c>
      <c r="D26" s="85" t="s">
        <v>16</v>
      </c>
      <c r="E26" s="85" t="s">
        <v>10</v>
      </c>
      <c r="F26" s="87" t="s">
        <v>29</v>
      </c>
      <c r="G26" s="230">
        <v>55</v>
      </c>
      <c r="H26" s="111">
        <v>100</v>
      </c>
      <c r="I26" s="88">
        <f>IF(H26=0,0,$G26/H26)</f>
        <v>0.55</v>
      </c>
      <c r="J26" s="75">
        <v>100</v>
      </c>
      <c r="K26" s="89">
        <f>IF(J26=0,0,$G26/J26)</f>
        <v>0.55</v>
      </c>
      <c r="L26" s="75">
        <v>96.1</v>
      </c>
      <c r="M26" s="89">
        <f>IF(L26=0,0,$G26/L26)</f>
        <v>0.5723204994797086</v>
      </c>
    </row>
    <row r="27" spans="1:13" ht="12.75">
      <c r="A27" s="90"/>
      <c r="B27" s="91" t="s">
        <v>11</v>
      </c>
      <c r="C27" s="90" t="s">
        <v>15</v>
      </c>
      <c r="D27" s="90"/>
      <c r="E27" s="90"/>
      <c r="F27" s="92"/>
      <c r="G27" s="231">
        <f>SUM(G26)</f>
        <v>55</v>
      </c>
      <c r="H27" s="93">
        <f>SUM(H26)</f>
        <v>100</v>
      </c>
      <c r="I27" s="94">
        <f>IF(H27=0,0,$G27/H27)</f>
        <v>0.55</v>
      </c>
      <c r="J27" s="93">
        <f>SUM(J26)</f>
        <v>100</v>
      </c>
      <c r="K27" s="94">
        <f>IF(J27=0,0,$G27/J27)</f>
        <v>0.55</v>
      </c>
      <c r="L27" s="93">
        <f>SUM(L26)</f>
        <v>96.1</v>
      </c>
      <c r="M27" s="94">
        <f>IF(L27=0,0,$G27/L27)</f>
        <v>0.5723204994797086</v>
      </c>
    </row>
    <row r="28" spans="8:13" ht="12.75">
      <c r="H28" s="226"/>
      <c r="I28" s="88"/>
      <c r="J28" s="80"/>
      <c r="K28" s="89"/>
      <c r="L28" s="80"/>
      <c r="M28" s="89"/>
    </row>
    <row r="29" spans="1:13" ht="12.75">
      <c r="A29" s="81"/>
      <c r="B29" s="95" t="s">
        <v>30</v>
      </c>
      <c r="C29" s="81"/>
      <c r="D29" s="81"/>
      <c r="E29" s="81"/>
      <c r="F29" s="96"/>
      <c r="G29" s="232">
        <f>SUM(G27,G24)</f>
        <v>20055</v>
      </c>
      <c r="H29" s="103">
        <f>SUM(H27,H24)</f>
        <v>18513</v>
      </c>
      <c r="I29" s="98">
        <f>IF(H29=0,0,$G29/H29)</f>
        <v>1.0832928212607358</v>
      </c>
      <c r="J29" s="97">
        <f>SUM(J27,J24)</f>
        <v>18513</v>
      </c>
      <c r="K29" s="99">
        <f>IF(J29=0,0,$G29/J29)</f>
        <v>1.0832928212607358</v>
      </c>
      <c r="L29" s="97">
        <f>SUM(L27,L24)</f>
        <v>17565.379999999997</v>
      </c>
      <c r="M29" s="99">
        <f>IF(L29=0,0,$G29/L29)</f>
        <v>1.1417344799827844</v>
      </c>
    </row>
    <row r="30" spans="8:13" ht="12.75">
      <c r="H30" s="226"/>
      <c r="I30" s="88"/>
      <c r="J30" s="80"/>
      <c r="K30" s="89"/>
      <c r="L30" s="80"/>
      <c r="M30" s="89"/>
    </row>
    <row r="31" spans="9:13" ht="12.75">
      <c r="I31" s="88"/>
      <c r="K31" s="89"/>
      <c r="M31" s="89"/>
    </row>
    <row r="32" spans="1:13" ht="13.5" thickBot="1">
      <c r="A32" s="85" t="s">
        <v>31</v>
      </c>
      <c r="B32" s="86" t="s">
        <v>32</v>
      </c>
      <c r="C32" s="85" t="s">
        <v>18</v>
      </c>
      <c r="D32" s="85" t="s">
        <v>33</v>
      </c>
      <c r="E32" s="85" t="s">
        <v>10</v>
      </c>
      <c r="F32" s="87" t="s">
        <v>34</v>
      </c>
      <c r="G32" s="230">
        <v>5</v>
      </c>
      <c r="H32" s="111">
        <v>8</v>
      </c>
      <c r="I32" s="88">
        <f>IF(H32=0,0,$G32/H32)</f>
        <v>0.625</v>
      </c>
      <c r="J32" s="75">
        <v>8</v>
      </c>
      <c r="K32" s="89">
        <f>IF(J32=0,0,$G32/J32)</f>
        <v>0.625</v>
      </c>
      <c r="L32" s="75">
        <v>1.418</v>
      </c>
      <c r="M32" s="89">
        <f>IF(L32=0,0,$G32/L32)</f>
        <v>3.526093088857546</v>
      </c>
    </row>
    <row r="33" spans="1:13" ht="12.75">
      <c r="A33" s="90"/>
      <c r="B33" s="91" t="s">
        <v>11</v>
      </c>
      <c r="C33" s="90" t="s">
        <v>18</v>
      </c>
      <c r="D33" s="90"/>
      <c r="E33" s="90"/>
      <c r="F33" s="92"/>
      <c r="G33" s="231">
        <f>SUM(G32)</f>
        <v>5</v>
      </c>
      <c r="H33" s="93">
        <f>SUM(H32)</f>
        <v>8</v>
      </c>
      <c r="I33" s="94">
        <f>IF(H33=0,0,$G33/H33)</f>
        <v>0.625</v>
      </c>
      <c r="J33" s="93">
        <f>SUM(J32)</f>
        <v>8</v>
      </c>
      <c r="K33" s="94">
        <f>IF(J33=0,0,$G33/J33)</f>
        <v>0.625</v>
      </c>
      <c r="L33" s="93">
        <f>SUM(L32)</f>
        <v>1.418</v>
      </c>
      <c r="M33" s="94">
        <f>IF(L33=0,0,$G33/L33)</f>
        <v>3.526093088857546</v>
      </c>
    </row>
    <row r="34" spans="8:13" ht="12.75">
      <c r="H34" s="226"/>
      <c r="I34" s="88"/>
      <c r="J34" s="80"/>
      <c r="K34" s="89"/>
      <c r="L34" s="80"/>
      <c r="M34" s="89"/>
    </row>
    <row r="35" spans="1:13" ht="12.75">
      <c r="A35" s="81"/>
      <c r="B35" s="95" t="s">
        <v>35</v>
      </c>
      <c r="C35" s="81"/>
      <c r="D35" s="81"/>
      <c r="E35" s="81"/>
      <c r="F35" s="96"/>
      <c r="G35" s="232">
        <f>SUM(G33)</f>
        <v>5</v>
      </c>
      <c r="H35" s="103">
        <f>SUM(H33)</f>
        <v>8</v>
      </c>
      <c r="I35" s="98">
        <f>IF(H35=0,0,$G35/H35)</f>
        <v>0.625</v>
      </c>
      <c r="J35" s="97">
        <f>SUM(J33)</f>
        <v>8</v>
      </c>
      <c r="K35" s="99">
        <f>IF(J35=0,0,$G35/J35)</f>
        <v>0.625</v>
      </c>
      <c r="L35" s="97">
        <f>SUM(L33)</f>
        <v>1.418</v>
      </c>
      <c r="M35" s="99">
        <f>IF(L35=0,0,$G35/L35)</f>
        <v>3.526093088857546</v>
      </c>
    </row>
    <row r="36" spans="9:13" ht="12.75">
      <c r="I36" s="88"/>
      <c r="K36" s="89"/>
      <c r="M36" s="89"/>
    </row>
    <row r="37" spans="9:13" ht="12.75">
      <c r="I37" s="88"/>
      <c r="K37" s="89"/>
      <c r="M37" s="89"/>
    </row>
    <row r="38" spans="1:13" ht="13.5" thickBot="1">
      <c r="A38" s="85" t="s">
        <v>36</v>
      </c>
      <c r="B38" s="86" t="s">
        <v>37</v>
      </c>
      <c r="C38" s="85" t="s">
        <v>8</v>
      </c>
      <c r="D38" s="85" t="s">
        <v>38</v>
      </c>
      <c r="E38" s="85" t="s">
        <v>10</v>
      </c>
      <c r="F38" s="87" t="s">
        <v>39</v>
      </c>
      <c r="G38" s="230">
        <v>6065</v>
      </c>
      <c r="H38" s="111">
        <v>5634</v>
      </c>
      <c r="I38" s="88">
        <f>IF(H38=0,0,$G38/H38)</f>
        <v>1.0764998225062123</v>
      </c>
      <c r="J38" s="75">
        <f>5945-310.999</f>
        <v>5634.001</v>
      </c>
      <c r="K38" s="89">
        <f>IF(J38=0,0,$G38/J38)</f>
        <v>1.0764996314342152</v>
      </c>
      <c r="L38" s="75">
        <f>6376.012-310.999</f>
        <v>6065.013</v>
      </c>
      <c r="M38" s="89">
        <f>IF(L38=0,0,$G38/L38)</f>
        <v>0.9999978565585927</v>
      </c>
    </row>
    <row r="39" spans="1:13" ht="12.75">
      <c r="A39" s="90"/>
      <c r="B39" s="91" t="s">
        <v>11</v>
      </c>
      <c r="C39" s="90" t="s">
        <v>8</v>
      </c>
      <c r="D39" s="90"/>
      <c r="E39" s="90"/>
      <c r="F39" s="92"/>
      <c r="G39" s="231">
        <f>SUM(G38)</f>
        <v>6065</v>
      </c>
      <c r="H39" s="93">
        <f>SUM(H38)</f>
        <v>5634</v>
      </c>
      <c r="I39" s="94">
        <f>IF(H39=0,0,$G39/H39)</f>
        <v>1.0764998225062123</v>
      </c>
      <c r="J39" s="93">
        <f>SUM(J38)</f>
        <v>5634.001</v>
      </c>
      <c r="K39" s="94">
        <f>IF(J39=0,0,$G39/J39)</f>
        <v>1.0764996314342152</v>
      </c>
      <c r="L39" s="93">
        <f>SUM(L38)</f>
        <v>6065.013</v>
      </c>
      <c r="M39" s="94">
        <f>IF(L39=0,0,$G39/L39)</f>
        <v>0.9999978565585927</v>
      </c>
    </row>
    <row r="40" spans="9:13" ht="12.75">
      <c r="I40" s="88"/>
      <c r="K40" s="89"/>
      <c r="M40" s="89"/>
    </row>
    <row r="41" spans="1:13" ht="12.75">
      <c r="A41" s="81"/>
      <c r="B41" s="95" t="s">
        <v>40</v>
      </c>
      <c r="C41" s="81"/>
      <c r="D41" s="81"/>
      <c r="E41" s="81"/>
      <c r="F41" s="96"/>
      <c r="G41" s="232">
        <f>SUM(G39)</f>
        <v>6065</v>
      </c>
      <c r="H41" s="103">
        <f>SUM(H39)</f>
        <v>5634</v>
      </c>
      <c r="I41" s="98">
        <f>IF(H41=0,0,$G41/H41)</f>
        <v>1.0764998225062123</v>
      </c>
      <c r="J41" s="97">
        <f>SUM(J39)</f>
        <v>5634.001</v>
      </c>
      <c r="K41" s="99">
        <f>IF(J41=0,0,$G41/J41)</f>
        <v>1.0764996314342152</v>
      </c>
      <c r="L41" s="97">
        <f>SUM(L39)</f>
        <v>6065.013</v>
      </c>
      <c r="M41" s="99">
        <f>IF(L41=0,0,$G41/L41)</f>
        <v>0.9999978565585927</v>
      </c>
    </row>
    <row r="42" spans="9:13" ht="12.75">
      <c r="I42" s="88"/>
      <c r="K42" s="89"/>
      <c r="M42" s="89"/>
    </row>
    <row r="43" spans="9:13" ht="12.75">
      <c r="I43" s="88"/>
      <c r="K43" s="89"/>
      <c r="M43" s="89"/>
    </row>
    <row r="44" spans="1:13" ht="12.75">
      <c r="A44" s="85" t="s">
        <v>41</v>
      </c>
      <c r="B44" s="86" t="s">
        <v>42</v>
      </c>
      <c r="C44" s="85" t="s">
        <v>8</v>
      </c>
      <c r="D44" s="85" t="s">
        <v>27</v>
      </c>
      <c r="E44" s="85" t="s">
        <v>10</v>
      </c>
      <c r="F44" s="87" t="s">
        <v>43</v>
      </c>
      <c r="G44" s="230">
        <v>1600</v>
      </c>
      <c r="H44" s="111">
        <v>1637</v>
      </c>
      <c r="I44" s="88">
        <f>IF(H44=0,0,$G44/H44)</f>
        <v>0.9773976786805131</v>
      </c>
      <c r="J44" s="75">
        <v>1637</v>
      </c>
      <c r="K44" s="89">
        <f>IF(J44=0,0,$G44/J44)</f>
        <v>0.9773976786805131</v>
      </c>
      <c r="L44" s="75">
        <v>1318.375</v>
      </c>
      <c r="M44" s="89">
        <f>IF(L44=0,0,$G44/L44)</f>
        <v>1.2136152460415284</v>
      </c>
    </row>
    <row r="45" spans="1:13" ht="13.5" thickBot="1">
      <c r="A45" s="85" t="s">
        <v>41</v>
      </c>
      <c r="B45" s="86" t="s">
        <v>818</v>
      </c>
      <c r="C45" s="85" t="s">
        <v>8</v>
      </c>
      <c r="D45" s="85" t="s">
        <v>819</v>
      </c>
      <c r="E45" s="85" t="s">
        <v>10</v>
      </c>
      <c r="F45" s="87" t="s">
        <v>820</v>
      </c>
      <c r="G45" s="230">
        <v>0</v>
      </c>
      <c r="H45" s="111">
        <v>300</v>
      </c>
      <c r="I45" s="88"/>
      <c r="J45" s="75">
        <v>300</v>
      </c>
      <c r="K45" s="89"/>
      <c r="L45" s="75">
        <v>300</v>
      </c>
      <c r="M45" s="89"/>
    </row>
    <row r="46" spans="1:13" ht="12.75">
      <c r="A46" s="90"/>
      <c r="B46" s="91" t="s">
        <v>11</v>
      </c>
      <c r="C46" s="90" t="s">
        <v>8</v>
      </c>
      <c r="D46" s="90"/>
      <c r="E46" s="90"/>
      <c r="F46" s="92"/>
      <c r="G46" s="231">
        <f>SUM(G44:G45)</f>
        <v>1600</v>
      </c>
      <c r="H46" s="93">
        <f>SUM(H44:H45)</f>
        <v>1937</v>
      </c>
      <c r="I46" s="94">
        <f>IF(H46=0,0,$G46/H46)</f>
        <v>0.8260196179659267</v>
      </c>
      <c r="J46" s="93">
        <f>SUM(J44:J45)</f>
        <v>1937</v>
      </c>
      <c r="K46" s="94">
        <f>IF(J46=0,0,$G46/J46)</f>
        <v>0.8260196179659267</v>
      </c>
      <c r="L46" s="93">
        <f>SUM(L44:L45)</f>
        <v>1618.375</v>
      </c>
      <c r="M46" s="94">
        <f>IF(L46=0,0,$G46/L46)</f>
        <v>0.9886460183826369</v>
      </c>
    </row>
    <row r="47" spans="9:13" ht="12.75">
      <c r="I47" s="88"/>
      <c r="K47" s="89"/>
      <c r="M47" s="89"/>
    </row>
    <row r="48" spans="1:13" ht="13.5" thickBot="1">
      <c r="A48" s="85" t="s">
        <v>41</v>
      </c>
      <c r="B48" s="86" t="s">
        <v>42</v>
      </c>
      <c r="C48" s="85" t="s">
        <v>44</v>
      </c>
      <c r="D48" s="85" t="s">
        <v>16</v>
      </c>
      <c r="E48" s="85" t="s">
        <v>10</v>
      </c>
      <c r="F48" s="87" t="s">
        <v>45</v>
      </c>
      <c r="G48" s="230">
        <v>250</v>
      </c>
      <c r="H48" s="111">
        <v>300</v>
      </c>
      <c r="I48" s="88">
        <f>IF(H48=0,0,$G48/H48)</f>
        <v>0.8333333333333334</v>
      </c>
      <c r="J48" s="75">
        <v>300</v>
      </c>
      <c r="K48" s="89">
        <f>IF(J48=0,0,$G48/J48)</f>
        <v>0.8333333333333334</v>
      </c>
      <c r="L48" s="75">
        <v>163.8</v>
      </c>
      <c r="M48" s="89">
        <f>IF(L48=0,0,$G48/L48)</f>
        <v>1.5262515262515262</v>
      </c>
    </row>
    <row r="49" spans="1:13" ht="12.75">
      <c r="A49" s="90"/>
      <c r="B49" s="91" t="s">
        <v>11</v>
      </c>
      <c r="C49" s="90" t="s">
        <v>44</v>
      </c>
      <c r="D49" s="90"/>
      <c r="E49" s="90"/>
      <c r="F49" s="92"/>
      <c r="G49" s="231">
        <f>SUM(G48)</f>
        <v>250</v>
      </c>
      <c r="H49" s="93">
        <f>SUM(H48)</f>
        <v>300</v>
      </c>
      <c r="I49" s="94">
        <f>IF(H49=0,0,$G49/H49)</f>
        <v>0.8333333333333334</v>
      </c>
      <c r="J49" s="93">
        <f>SUM(J48)</f>
        <v>300</v>
      </c>
      <c r="K49" s="94">
        <f>IF(J49=0,0,$G49/J49)</f>
        <v>0.8333333333333334</v>
      </c>
      <c r="L49" s="93">
        <f>SUM(L48)</f>
        <v>163.8</v>
      </c>
      <c r="M49" s="94">
        <f>IF(L49=0,0,$G49/L49)</f>
        <v>1.5262515262515262</v>
      </c>
    </row>
    <row r="50" spans="9:13" ht="12.75">
      <c r="I50" s="88"/>
      <c r="K50" s="89"/>
      <c r="M50" s="89"/>
    </row>
    <row r="51" spans="1:13" ht="12.75">
      <c r="A51" s="81"/>
      <c r="B51" s="95" t="s">
        <v>46</v>
      </c>
      <c r="C51" s="81"/>
      <c r="D51" s="81"/>
      <c r="E51" s="81"/>
      <c r="F51" s="96"/>
      <c r="G51" s="232">
        <f>SUM(G49,G46)</f>
        <v>1850</v>
      </c>
      <c r="H51" s="103">
        <f>SUM(H49,H46)</f>
        <v>2237</v>
      </c>
      <c r="I51" s="98">
        <f>IF(H51=0,0,$G51/H51)</f>
        <v>0.8270004470272687</v>
      </c>
      <c r="J51" s="97">
        <f>SUM(J49,J46)</f>
        <v>2237</v>
      </c>
      <c r="K51" s="99">
        <f>IF(J51=0,0,$G51/J51)</f>
        <v>0.8270004470272687</v>
      </c>
      <c r="L51" s="97">
        <f>SUM(L49,L46)</f>
        <v>1782.175</v>
      </c>
      <c r="M51" s="99">
        <f>IF(L51=0,0,$G51/L51)</f>
        <v>1.038057429825915</v>
      </c>
    </row>
    <row r="52" spans="9:13" ht="12.75">
      <c r="I52" s="88"/>
      <c r="K52" s="89"/>
      <c r="M52" s="89"/>
    </row>
    <row r="53" spans="9:13" ht="12.75">
      <c r="I53" s="88"/>
      <c r="K53" s="89"/>
      <c r="M53" s="89"/>
    </row>
    <row r="54" spans="1:13" ht="13.5" thickBot="1">
      <c r="A54" s="85" t="s">
        <v>47</v>
      </c>
      <c r="B54" s="86" t="s">
        <v>48</v>
      </c>
      <c r="C54" s="85" t="s">
        <v>8</v>
      </c>
      <c r="D54" s="85" t="s">
        <v>27</v>
      </c>
      <c r="E54" s="85" t="s">
        <v>10</v>
      </c>
      <c r="F54" s="87" t="s">
        <v>43</v>
      </c>
      <c r="G54" s="230">
        <v>540</v>
      </c>
      <c r="H54" s="111">
        <v>450</v>
      </c>
      <c r="I54" s="88">
        <f>IF(H54=0,0,$G54/H54)</f>
        <v>1.2</v>
      </c>
      <c r="J54" s="75">
        <v>450</v>
      </c>
      <c r="K54" s="89">
        <f>IF(J54=0,0,$G54/J54)</f>
        <v>1.2</v>
      </c>
      <c r="L54" s="75">
        <v>395.09</v>
      </c>
      <c r="M54" s="89">
        <f>IF(L54=0,0,$G54/L54)</f>
        <v>1.3667771900073402</v>
      </c>
    </row>
    <row r="55" spans="1:13" ht="12.75">
      <c r="A55" s="90"/>
      <c r="B55" s="91" t="s">
        <v>11</v>
      </c>
      <c r="C55" s="90" t="s">
        <v>8</v>
      </c>
      <c r="D55" s="90"/>
      <c r="E55" s="90"/>
      <c r="F55" s="92"/>
      <c r="G55" s="231">
        <f>SUM(G54)</f>
        <v>540</v>
      </c>
      <c r="H55" s="93">
        <f>SUM(H54)</f>
        <v>450</v>
      </c>
      <c r="I55" s="94">
        <f>IF(H55=0,0,$G55/H55)</f>
        <v>1.2</v>
      </c>
      <c r="J55" s="93">
        <f>SUM(J54)</f>
        <v>450</v>
      </c>
      <c r="K55" s="94">
        <f>IF(J55=0,0,$G55/J55)</f>
        <v>1.2</v>
      </c>
      <c r="L55" s="93">
        <f>SUM(L54)</f>
        <v>395.09</v>
      </c>
      <c r="M55" s="94">
        <f>IF(L55=0,0,$G55/L55)</f>
        <v>1.3667771900073402</v>
      </c>
    </row>
    <row r="56" spans="9:13" ht="12.75">
      <c r="I56" s="88"/>
      <c r="K56" s="89"/>
      <c r="M56" s="89"/>
    </row>
    <row r="57" spans="1:13" ht="13.5" thickBot="1">
      <c r="A57" s="85" t="s">
        <v>47</v>
      </c>
      <c r="B57" s="86" t="s">
        <v>48</v>
      </c>
      <c r="C57" s="85" t="s">
        <v>49</v>
      </c>
      <c r="D57" s="85" t="s">
        <v>16</v>
      </c>
      <c r="E57" s="85" t="s">
        <v>10</v>
      </c>
      <c r="F57" s="87" t="s">
        <v>50</v>
      </c>
      <c r="G57" s="230">
        <v>200</v>
      </c>
      <c r="H57" s="111">
        <v>100</v>
      </c>
      <c r="I57" s="88">
        <f>IF(H57=0,0,$G57/H57)</f>
        <v>2</v>
      </c>
      <c r="J57" s="75">
        <v>100</v>
      </c>
      <c r="K57" s="89">
        <f>IF(J57=0,0,$G57/J57)</f>
        <v>2</v>
      </c>
      <c r="L57" s="75">
        <f>250.2+16</f>
        <v>266.2</v>
      </c>
      <c r="M57" s="89">
        <f>IF(L57=0,0,$G57/L57)</f>
        <v>0.7513148009015778</v>
      </c>
    </row>
    <row r="58" spans="1:13" ht="12.75">
      <c r="A58" s="90"/>
      <c r="B58" s="91" t="s">
        <v>11</v>
      </c>
      <c r="C58" s="90" t="s">
        <v>49</v>
      </c>
      <c r="D58" s="90"/>
      <c r="E58" s="90"/>
      <c r="F58" s="92"/>
      <c r="G58" s="231">
        <f>SUM(G57)</f>
        <v>200</v>
      </c>
      <c r="H58" s="93">
        <f>SUM(H57)</f>
        <v>100</v>
      </c>
      <c r="I58" s="94">
        <f>IF(H58=0,0,$G58/H58)</f>
        <v>2</v>
      </c>
      <c r="J58" s="93">
        <f>SUM(J57)</f>
        <v>100</v>
      </c>
      <c r="K58" s="94">
        <f>IF(J58=0,0,$G58/J58)</f>
        <v>2</v>
      </c>
      <c r="L58" s="93">
        <f>SUM(L57)</f>
        <v>266.2</v>
      </c>
      <c r="M58" s="94">
        <f>IF(L58=0,0,$G58/L58)</f>
        <v>0.7513148009015778</v>
      </c>
    </row>
    <row r="59" spans="9:13" ht="12.75">
      <c r="I59" s="88"/>
      <c r="K59" s="89"/>
      <c r="M59" s="89"/>
    </row>
    <row r="60" spans="1:13" ht="12.75">
      <c r="A60" s="81"/>
      <c r="B60" s="95" t="s">
        <v>51</v>
      </c>
      <c r="C60" s="81"/>
      <c r="D60" s="81"/>
      <c r="E60" s="81"/>
      <c r="F60" s="96"/>
      <c r="G60" s="232">
        <f>SUM(G55,G58)</f>
        <v>740</v>
      </c>
      <c r="H60" s="103">
        <f>SUM(H55,H58)</f>
        <v>550</v>
      </c>
      <c r="I60" s="98">
        <f>IF(H60=0,0,$G60/H60)</f>
        <v>1.3454545454545455</v>
      </c>
      <c r="J60" s="97">
        <f>SUM(J55,J58)</f>
        <v>550</v>
      </c>
      <c r="K60" s="99">
        <f>IF(J60=0,0,$G60/J60)</f>
        <v>1.3454545454545455</v>
      </c>
      <c r="L60" s="97">
        <f>SUM(L55,L58)</f>
        <v>661.29</v>
      </c>
      <c r="M60" s="99">
        <f>IF(L60=0,0,$G60/L60)</f>
        <v>1.119024936109725</v>
      </c>
    </row>
    <row r="61" spans="9:13" ht="12.75">
      <c r="I61" s="88"/>
      <c r="K61" s="89"/>
      <c r="M61" s="89"/>
    </row>
    <row r="62" spans="9:13" ht="12.75">
      <c r="I62" s="88"/>
      <c r="K62" s="89"/>
      <c r="M62" s="89"/>
    </row>
    <row r="63" spans="1:13" ht="13.5" thickBot="1">
      <c r="A63" s="85" t="s">
        <v>52</v>
      </c>
      <c r="B63" s="86" t="s">
        <v>53</v>
      </c>
      <c r="C63" s="85" t="s">
        <v>8</v>
      </c>
      <c r="D63" s="85" t="s">
        <v>27</v>
      </c>
      <c r="E63" s="85" t="s">
        <v>10</v>
      </c>
      <c r="F63" s="87" t="s">
        <v>43</v>
      </c>
      <c r="G63" s="230">
        <v>4500</v>
      </c>
      <c r="H63" s="111">
        <v>4500</v>
      </c>
      <c r="I63" s="88">
        <f>IF(H63=0,0,$G63/H63)</f>
        <v>1</v>
      </c>
      <c r="J63" s="75">
        <v>4500</v>
      </c>
      <c r="K63" s="89">
        <f>IF(J63=0,0,$G63/J63)</f>
        <v>1</v>
      </c>
      <c r="L63" s="75">
        <v>4482.265</v>
      </c>
      <c r="M63" s="89">
        <f>IF(L63=0,0,$G63/L63)</f>
        <v>1.0039567049248537</v>
      </c>
    </row>
    <row r="64" spans="1:13" ht="12.75">
      <c r="A64" s="90"/>
      <c r="B64" s="91" t="s">
        <v>11</v>
      </c>
      <c r="C64" s="90" t="s">
        <v>8</v>
      </c>
      <c r="D64" s="90"/>
      <c r="E64" s="90"/>
      <c r="F64" s="92"/>
      <c r="G64" s="231">
        <f>SUM(G63)</f>
        <v>4500</v>
      </c>
      <c r="H64" s="93">
        <f>SUM(H63)</f>
        <v>4500</v>
      </c>
      <c r="I64" s="94">
        <f>IF(H64=0,0,$G64/H64)</f>
        <v>1</v>
      </c>
      <c r="J64" s="93">
        <f>SUM(J63)</f>
        <v>4500</v>
      </c>
      <c r="K64" s="94">
        <f>IF(J64=0,0,$G64/J64)</f>
        <v>1</v>
      </c>
      <c r="L64" s="93">
        <f>SUM(L63)</f>
        <v>4482.265</v>
      </c>
      <c r="M64" s="94">
        <f>IF(L64=0,0,$G64/L64)</f>
        <v>1.0039567049248537</v>
      </c>
    </row>
    <row r="65" spans="9:13" ht="12.75">
      <c r="I65" s="88"/>
      <c r="K65" s="89"/>
      <c r="M65" s="89"/>
    </row>
    <row r="66" spans="1:13" ht="13.5" thickBot="1">
      <c r="A66" s="85" t="s">
        <v>52</v>
      </c>
      <c r="B66" s="86" t="s">
        <v>53</v>
      </c>
      <c r="C66" s="85" t="s">
        <v>18</v>
      </c>
      <c r="D66" s="85" t="s">
        <v>16</v>
      </c>
      <c r="E66" s="85" t="s">
        <v>10</v>
      </c>
      <c r="F66" s="87" t="s">
        <v>54</v>
      </c>
      <c r="G66" s="230">
        <v>290</v>
      </c>
      <c r="H66" s="111">
        <v>290</v>
      </c>
      <c r="I66" s="88">
        <f>IF(H66=0,0,$G66/H66)</f>
        <v>1</v>
      </c>
      <c r="J66" s="75">
        <v>290</v>
      </c>
      <c r="K66" s="89">
        <f>IF(J66=0,0,$G66/J66)</f>
        <v>1</v>
      </c>
      <c r="L66" s="75">
        <v>263.2</v>
      </c>
      <c r="M66" s="89">
        <f>IF(L66=0,0,$G66/L66)</f>
        <v>1.101823708206687</v>
      </c>
    </row>
    <row r="67" spans="1:13" ht="12.75">
      <c r="A67" s="90"/>
      <c r="B67" s="91" t="s">
        <v>11</v>
      </c>
      <c r="C67" s="90" t="s">
        <v>18</v>
      </c>
      <c r="D67" s="90"/>
      <c r="E67" s="90"/>
      <c r="F67" s="92"/>
      <c r="G67" s="231">
        <f>SUM(G66)</f>
        <v>290</v>
      </c>
      <c r="H67" s="93">
        <f>SUM(H66)</f>
        <v>290</v>
      </c>
      <c r="I67" s="94">
        <f>IF(H67=0,0,$G67/H67)</f>
        <v>1</v>
      </c>
      <c r="J67" s="93">
        <f>SUM(J66)</f>
        <v>290</v>
      </c>
      <c r="K67" s="94">
        <f>IF(J67=0,0,$G67/J67)</f>
        <v>1</v>
      </c>
      <c r="L67" s="93">
        <f>SUM(L66)</f>
        <v>263.2</v>
      </c>
      <c r="M67" s="94">
        <f>IF(L67=0,0,$G67/L67)</f>
        <v>1.101823708206687</v>
      </c>
    </row>
    <row r="68" spans="9:13" ht="12.75">
      <c r="I68" s="88"/>
      <c r="K68" s="89"/>
      <c r="M68" s="89"/>
    </row>
    <row r="69" spans="1:13" ht="12.75">
      <c r="A69" s="81"/>
      <c r="B69" s="95" t="s">
        <v>55</v>
      </c>
      <c r="C69" s="81"/>
      <c r="D69" s="81"/>
      <c r="E69" s="81"/>
      <c r="F69" s="96"/>
      <c r="G69" s="232">
        <f>SUM(G64,G67)</f>
        <v>4790</v>
      </c>
      <c r="H69" s="103">
        <f>SUM(H64,H67)</f>
        <v>4790</v>
      </c>
      <c r="I69" s="98">
        <f>IF(H69=0,0,$G69/H69)</f>
        <v>1</v>
      </c>
      <c r="J69" s="97">
        <f>SUM(J64,J67)</f>
        <v>4790</v>
      </c>
      <c r="K69" s="99">
        <f>IF(J69=0,0,$G69/J69)</f>
        <v>1</v>
      </c>
      <c r="L69" s="97">
        <f>SUM(L64,L67)</f>
        <v>4745.465</v>
      </c>
      <c r="M69" s="99">
        <f>IF(L69=0,0,$G69/L69)</f>
        <v>1.0093847494397281</v>
      </c>
    </row>
    <row r="70" spans="9:13" ht="12.75">
      <c r="I70" s="88"/>
      <c r="K70" s="89"/>
      <c r="M70" s="89"/>
    </row>
    <row r="71" spans="9:13" ht="12.75">
      <c r="I71" s="88"/>
      <c r="K71" s="89"/>
      <c r="M71" s="89"/>
    </row>
    <row r="72" spans="1:13" ht="13.5" thickBot="1">
      <c r="A72" s="85" t="s">
        <v>56</v>
      </c>
      <c r="B72" s="86" t="s">
        <v>57</v>
      </c>
      <c r="C72" s="85" t="s">
        <v>58</v>
      </c>
      <c r="D72" s="85" t="s">
        <v>19</v>
      </c>
      <c r="E72" s="85" t="s">
        <v>10</v>
      </c>
      <c r="F72" s="87" t="s">
        <v>59</v>
      </c>
      <c r="G72" s="230">
        <v>50</v>
      </c>
      <c r="H72" s="111">
        <v>45</v>
      </c>
      <c r="I72" s="88">
        <f>IF(H72=0,0,$G72/H72)</f>
        <v>1.1111111111111112</v>
      </c>
      <c r="J72" s="75">
        <v>45</v>
      </c>
      <c r="K72" s="89">
        <f>IF(J72=0,0,$G72/J72)</f>
        <v>1.1111111111111112</v>
      </c>
      <c r="L72" s="75">
        <v>51.1</v>
      </c>
      <c r="M72" s="89">
        <f>IF(L72=0,0,$G72/L72)</f>
        <v>0.9784735812133072</v>
      </c>
    </row>
    <row r="73" spans="1:13" ht="12.75">
      <c r="A73" s="90"/>
      <c r="B73" s="91" t="s">
        <v>11</v>
      </c>
      <c r="C73" s="90" t="s">
        <v>58</v>
      </c>
      <c r="D73" s="90"/>
      <c r="E73" s="90"/>
      <c r="F73" s="92"/>
      <c r="G73" s="231">
        <f>SUM(G72)</f>
        <v>50</v>
      </c>
      <c r="H73" s="93">
        <f>SUM(H72)</f>
        <v>45</v>
      </c>
      <c r="I73" s="94">
        <f>IF(H73=0,0,$G73/H73)</f>
        <v>1.1111111111111112</v>
      </c>
      <c r="J73" s="93">
        <f>SUM(J72)</f>
        <v>45</v>
      </c>
      <c r="K73" s="94">
        <f>IF(J73=0,0,$G73/J73)</f>
        <v>1.1111111111111112</v>
      </c>
      <c r="L73" s="93">
        <f>SUM(L72)</f>
        <v>51.1</v>
      </c>
      <c r="M73" s="94">
        <f>IF(L73=0,0,$G73/L73)</f>
        <v>0.9784735812133072</v>
      </c>
    </row>
    <row r="74" spans="9:13" ht="12.75">
      <c r="I74" s="88"/>
      <c r="K74" s="89"/>
      <c r="M74" s="89"/>
    </row>
    <row r="75" spans="1:13" ht="13.5" thickBot="1">
      <c r="A75" s="85" t="s">
        <v>56</v>
      </c>
      <c r="B75" s="86" t="s">
        <v>60</v>
      </c>
      <c r="C75" s="85" t="s">
        <v>61</v>
      </c>
      <c r="D75" s="85" t="s">
        <v>19</v>
      </c>
      <c r="E75" s="85" t="s">
        <v>10</v>
      </c>
      <c r="F75" s="87" t="s">
        <v>62</v>
      </c>
      <c r="G75" s="230">
        <v>420</v>
      </c>
      <c r="H75" s="111">
        <v>475</v>
      </c>
      <c r="I75" s="88">
        <f>IF(H75=0,0,$G75/H75)</f>
        <v>0.8842105263157894</v>
      </c>
      <c r="J75" s="75">
        <v>475</v>
      </c>
      <c r="K75" s="89">
        <f>IF(J75=0,0,$G75/J75)</f>
        <v>0.8842105263157894</v>
      </c>
      <c r="L75" s="75">
        <v>353.662</v>
      </c>
      <c r="M75" s="89">
        <f>IF(L75=0,0,$G75/L75)</f>
        <v>1.187574576855868</v>
      </c>
    </row>
    <row r="76" spans="1:13" ht="12.75">
      <c r="A76" s="90"/>
      <c r="B76" s="91" t="s">
        <v>11</v>
      </c>
      <c r="C76" s="90" t="s">
        <v>61</v>
      </c>
      <c r="D76" s="90"/>
      <c r="E76" s="90"/>
      <c r="F76" s="92"/>
      <c r="G76" s="231">
        <f>SUM(G75)</f>
        <v>420</v>
      </c>
      <c r="H76" s="93">
        <f>SUM(H75)</f>
        <v>475</v>
      </c>
      <c r="I76" s="94">
        <f>IF(H76=0,0,$G76/H76)</f>
        <v>0.8842105263157894</v>
      </c>
      <c r="J76" s="93">
        <f>SUM(J75)</f>
        <v>475</v>
      </c>
      <c r="K76" s="94">
        <f>IF(J76=0,0,$G76/J76)</f>
        <v>0.8842105263157894</v>
      </c>
      <c r="L76" s="93">
        <f>SUM(L75)</f>
        <v>353.662</v>
      </c>
      <c r="M76" s="94">
        <f>IF(L76=0,0,$G76/L76)</f>
        <v>1.187574576855868</v>
      </c>
    </row>
    <row r="77" spans="9:13" ht="12.75">
      <c r="I77" s="88"/>
      <c r="K77" s="89"/>
      <c r="M77" s="89"/>
    </row>
    <row r="78" spans="1:13" ht="13.5" thickBot="1">
      <c r="A78" s="85" t="s">
        <v>56</v>
      </c>
      <c r="B78" s="86" t="s">
        <v>63</v>
      </c>
      <c r="C78" s="85" t="s">
        <v>64</v>
      </c>
      <c r="D78" s="85" t="s">
        <v>19</v>
      </c>
      <c r="E78" s="85" t="s">
        <v>10</v>
      </c>
      <c r="F78" s="87" t="s">
        <v>65</v>
      </c>
      <c r="G78" s="230">
        <v>150</v>
      </c>
      <c r="H78" s="111">
        <v>150</v>
      </c>
      <c r="I78" s="88">
        <f>IF(H78=0,0,$G78/H78)</f>
        <v>1</v>
      </c>
      <c r="J78" s="75">
        <v>150</v>
      </c>
      <c r="K78" s="89">
        <f>IF(J78=0,0,$G78/J78)</f>
        <v>1</v>
      </c>
      <c r="L78" s="75">
        <f>80.92+30.45</f>
        <v>111.37</v>
      </c>
      <c r="M78" s="89">
        <f>IF(L78=0,0,$G78/L78)</f>
        <v>1.346861811978091</v>
      </c>
    </row>
    <row r="79" spans="1:13" ht="12.75">
      <c r="A79" s="90"/>
      <c r="B79" s="91" t="s">
        <v>11</v>
      </c>
      <c r="C79" s="90" t="s">
        <v>64</v>
      </c>
      <c r="D79" s="90"/>
      <c r="E79" s="90"/>
      <c r="F79" s="92"/>
      <c r="G79" s="231">
        <f>SUM(G78)</f>
        <v>150</v>
      </c>
      <c r="H79" s="93">
        <f>SUM(H78)</f>
        <v>150</v>
      </c>
      <c r="I79" s="94">
        <f>IF(H79=0,0,$G79/H79)</f>
        <v>1</v>
      </c>
      <c r="J79" s="93">
        <f>SUM(J78)</f>
        <v>150</v>
      </c>
      <c r="K79" s="94">
        <f>IF(J79=0,0,$G79/J79)</f>
        <v>1</v>
      </c>
      <c r="L79" s="93">
        <f>SUM(L78)</f>
        <v>111.37</v>
      </c>
      <c r="M79" s="94">
        <f>IF(L79=0,0,$G79/L79)</f>
        <v>1.346861811978091</v>
      </c>
    </row>
    <row r="80" spans="9:13" ht="12.75">
      <c r="I80" s="88"/>
      <c r="K80" s="89"/>
      <c r="M80" s="89"/>
    </row>
    <row r="81" spans="1:13" ht="13.5" thickBot="1">
      <c r="A81" s="85" t="s">
        <v>56</v>
      </c>
      <c r="B81" s="86" t="s">
        <v>66</v>
      </c>
      <c r="C81" s="85" t="s">
        <v>67</v>
      </c>
      <c r="D81" s="85" t="s">
        <v>19</v>
      </c>
      <c r="E81" s="85" t="s">
        <v>10</v>
      </c>
      <c r="F81" s="87" t="s">
        <v>852</v>
      </c>
      <c r="G81" s="230">
        <v>2</v>
      </c>
      <c r="H81" s="111">
        <v>10</v>
      </c>
      <c r="I81" s="88">
        <f>IF(H81=0,0,$G81/H81)</f>
        <v>0.2</v>
      </c>
      <c r="J81" s="75">
        <v>10</v>
      </c>
      <c r="K81" s="89">
        <f>IF(J81=0,0,$G81/J81)</f>
        <v>0.2</v>
      </c>
      <c r="L81" s="75">
        <v>0</v>
      </c>
      <c r="M81" s="89">
        <f>IF(L81=0,0,$G81/L81)</f>
        <v>0</v>
      </c>
    </row>
    <row r="82" spans="1:13" ht="12.75">
      <c r="A82" s="90"/>
      <c r="B82" s="91" t="s">
        <v>11</v>
      </c>
      <c r="C82" s="90" t="s">
        <v>67</v>
      </c>
      <c r="D82" s="90"/>
      <c r="E82" s="90"/>
      <c r="F82" s="92"/>
      <c r="G82" s="231">
        <f>SUM(G81)</f>
        <v>2</v>
      </c>
      <c r="H82" s="93">
        <f>SUM(H81)</f>
        <v>10</v>
      </c>
      <c r="I82" s="94">
        <f>IF(H82=0,0,$G82/H82)</f>
        <v>0.2</v>
      </c>
      <c r="J82" s="93">
        <f>SUM(J81)</f>
        <v>10</v>
      </c>
      <c r="K82" s="94">
        <f>IF(J82=0,0,$G82/J82)</f>
        <v>0.2</v>
      </c>
      <c r="L82" s="93">
        <f>SUM(L81)</f>
        <v>0</v>
      </c>
      <c r="M82" s="94">
        <f>IF(L82=0,0,$G82/L82)</f>
        <v>0</v>
      </c>
    </row>
    <row r="83" spans="9:13" ht="12.75">
      <c r="I83" s="88"/>
      <c r="K83" s="89"/>
      <c r="M83" s="89"/>
    </row>
    <row r="84" spans="1:13" ht="12.75">
      <c r="A84" s="81"/>
      <c r="B84" s="95" t="s">
        <v>68</v>
      </c>
      <c r="C84" s="81"/>
      <c r="D84" s="81"/>
      <c r="E84" s="81"/>
      <c r="F84" s="96"/>
      <c r="G84" s="232">
        <f>SUM(G73,G76,G79,G82)</f>
        <v>622</v>
      </c>
      <c r="H84" s="103">
        <f>SUM(H73,H76,H79,H82)</f>
        <v>680</v>
      </c>
      <c r="I84" s="98">
        <f>IF(H84=0,0,$G84/H84)</f>
        <v>0.9147058823529411</v>
      </c>
      <c r="J84" s="97">
        <f>SUM(J73,J76,J79,J82)</f>
        <v>680</v>
      </c>
      <c r="K84" s="99">
        <f>IF(J84=0,0,$G84/J84)</f>
        <v>0.9147058823529411</v>
      </c>
      <c r="L84" s="97">
        <f>SUM(L73,L76,L79,L82)</f>
        <v>516.1320000000001</v>
      </c>
      <c r="M84" s="99">
        <f>IF(L84=0,0,$G84/L84)</f>
        <v>1.205118070571094</v>
      </c>
    </row>
    <row r="85" spans="9:13" ht="12.75">
      <c r="I85" s="88"/>
      <c r="K85" s="89"/>
      <c r="M85" s="89"/>
    </row>
    <row r="86" spans="9:13" ht="12.75">
      <c r="I86" s="88"/>
      <c r="K86" s="89"/>
      <c r="M86" s="89"/>
    </row>
    <row r="87" spans="1:16" ht="12.75">
      <c r="A87" s="85" t="s">
        <v>69</v>
      </c>
      <c r="B87" s="86" t="s">
        <v>70</v>
      </c>
      <c r="C87" s="85" t="s">
        <v>8</v>
      </c>
      <c r="D87" s="85" t="s">
        <v>71</v>
      </c>
      <c r="E87" s="85" t="s">
        <v>10</v>
      </c>
      <c r="F87" s="87" t="s">
        <v>70</v>
      </c>
      <c r="G87" s="230">
        <v>11700</v>
      </c>
      <c r="H87" s="111">
        <v>9650</v>
      </c>
      <c r="I87" s="88">
        <f aca="true" t="shared" si="0" ref="I87:I102">IF(H87=0,0,$G87/H87)</f>
        <v>1.2124352331606219</v>
      </c>
      <c r="J87" s="75">
        <v>9650</v>
      </c>
      <c r="K87" s="89">
        <f aca="true" t="shared" si="1" ref="K87:K102">IF(J87=0,0,$G87/J87)</f>
        <v>1.2124352331606219</v>
      </c>
      <c r="L87" s="75">
        <v>8483.418</v>
      </c>
      <c r="M87" s="89">
        <f aca="true" t="shared" si="2" ref="M87:M102">IF(L87=0,0,$G87/L87)</f>
        <v>1.3791610881368808</v>
      </c>
      <c r="P87" s="80"/>
    </row>
    <row r="88" spans="1:16" ht="12.75">
      <c r="A88" s="85" t="s">
        <v>69</v>
      </c>
      <c r="B88" s="86" t="s">
        <v>72</v>
      </c>
      <c r="C88" s="85" t="s">
        <v>8</v>
      </c>
      <c r="D88" s="85" t="s">
        <v>73</v>
      </c>
      <c r="E88" s="85" t="s">
        <v>10</v>
      </c>
      <c r="F88" s="87" t="s">
        <v>74</v>
      </c>
      <c r="G88" s="230">
        <v>5800</v>
      </c>
      <c r="H88" s="111">
        <v>4794</v>
      </c>
      <c r="I88" s="88">
        <f t="shared" si="0"/>
        <v>1.2098456403838131</v>
      </c>
      <c r="J88" s="75">
        <v>4794</v>
      </c>
      <c r="K88" s="89">
        <f t="shared" si="1"/>
        <v>1.2098456403838131</v>
      </c>
      <c r="L88" s="75">
        <v>4577.357</v>
      </c>
      <c r="M88" s="89">
        <f t="shared" si="2"/>
        <v>1.2671067605170407</v>
      </c>
      <c r="P88" s="80"/>
    </row>
    <row r="89" spans="1:16" ht="12.75">
      <c r="A89" s="85" t="s">
        <v>69</v>
      </c>
      <c r="B89" s="86" t="s">
        <v>75</v>
      </c>
      <c r="C89" s="85" t="s">
        <v>8</v>
      </c>
      <c r="D89" s="85" t="s">
        <v>76</v>
      </c>
      <c r="E89" s="85" t="s">
        <v>10</v>
      </c>
      <c r="F89" s="87" t="s">
        <v>75</v>
      </c>
      <c r="G89" s="230">
        <v>900</v>
      </c>
      <c r="H89" s="111">
        <v>880</v>
      </c>
      <c r="I89" s="88">
        <f t="shared" si="0"/>
        <v>1.0227272727272727</v>
      </c>
      <c r="J89" s="75">
        <v>880</v>
      </c>
      <c r="K89" s="89">
        <f t="shared" si="1"/>
        <v>1.0227272727272727</v>
      </c>
      <c r="L89" s="75">
        <v>917.265</v>
      </c>
      <c r="M89" s="89">
        <f t="shared" si="2"/>
        <v>0.981177740347664</v>
      </c>
      <c r="P89" s="80"/>
    </row>
    <row r="90" spans="1:16" ht="12.75">
      <c r="A90" s="85" t="s">
        <v>69</v>
      </c>
      <c r="B90" s="86" t="s">
        <v>77</v>
      </c>
      <c r="C90" s="85" t="s">
        <v>8</v>
      </c>
      <c r="D90" s="85" t="s">
        <v>78</v>
      </c>
      <c r="E90" s="85" t="s">
        <v>10</v>
      </c>
      <c r="F90" s="87" t="s">
        <v>77</v>
      </c>
      <c r="G90" s="230">
        <v>12000</v>
      </c>
      <c r="H90" s="111">
        <v>9000</v>
      </c>
      <c r="I90" s="88">
        <f t="shared" si="0"/>
        <v>1.3333333333333333</v>
      </c>
      <c r="J90" s="75">
        <v>9000</v>
      </c>
      <c r="K90" s="89">
        <f t="shared" si="1"/>
        <v>1.3333333333333333</v>
      </c>
      <c r="L90" s="75">
        <v>9956.228</v>
      </c>
      <c r="M90" s="89">
        <f t="shared" si="2"/>
        <v>1.2052757329382173</v>
      </c>
      <c r="P90" s="80"/>
    </row>
    <row r="91" spans="1:16" ht="12.75">
      <c r="A91" s="85" t="s">
        <v>69</v>
      </c>
      <c r="B91" s="86" t="s">
        <v>79</v>
      </c>
      <c r="C91" s="85" t="s">
        <v>8</v>
      </c>
      <c r="D91" s="85" t="s">
        <v>80</v>
      </c>
      <c r="E91" s="85" t="s">
        <v>10</v>
      </c>
      <c r="F91" s="87" t="s">
        <v>79</v>
      </c>
      <c r="G91" s="230">
        <v>26000</v>
      </c>
      <c r="H91" s="111">
        <v>22000</v>
      </c>
      <c r="I91" s="88">
        <f t="shared" si="0"/>
        <v>1.1818181818181819</v>
      </c>
      <c r="J91" s="75">
        <v>22000</v>
      </c>
      <c r="K91" s="89">
        <f t="shared" si="1"/>
        <v>1.1818181818181819</v>
      </c>
      <c r="L91" s="75">
        <v>17106.622</v>
      </c>
      <c r="M91" s="89">
        <f t="shared" si="2"/>
        <v>1.5198792607915228</v>
      </c>
      <c r="P91" s="80"/>
    </row>
    <row r="92" spans="1:17" ht="12.75">
      <c r="A92" s="85" t="s">
        <v>69</v>
      </c>
      <c r="B92" s="86" t="s">
        <v>81</v>
      </c>
      <c r="C92" s="85" t="s">
        <v>8</v>
      </c>
      <c r="D92" s="85" t="s">
        <v>82</v>
      </c>
      <c r="E92" s="85" t="s">
        <v>10</v>
      </c>
      <c r="F92" s="87" t="s">
        <v>83</v>
      </c>
      <c r="G92" s="230">
        <v>3560</v>
      </c>
      <c r="H92" s="111">
        <v>3520</v>
      </c>
      <c r="I92" s="88">
        <f t="shared" si="0"/>
        <v>1.0113636363636365</v>
      </c>
      <c r="J92" s="75">
        <v>3520</v>
      </c>
      <c r="K92" s="89">
        <f t="shared" si="1"/>
        <v>1.0113636363636365</v>
      </c>
      <c r="L92" s="75">
        <v>3603.604</v>
      </c>
      <c r="M92" s="89">
        <f t="shared" si="2"/>
        <v>0.987899891331012</v>
      </c>
      <c r="P92" s="80"/>
      <c r="Q92" s="80"/>
    </row>
    <row r="93" spans="1:13" ht="12.75">
      <c r="A93" s="85" t="s">
        <v>69</v>
      </c>
      <c r="B93" s="86" t="s">
        <v>84</v>
      </c>
      <c r="C93" s="85" t="s">
        <v>8</v>
      </c>
      <c r="D93" s="85" t="s">
        <v>85</v>
      </c>
      <c r="E93" s="85" t="s">
        <v>10</v>
      </c>
      <c r="F93" s="87" t="s">
        <v>84</v>
      </c>
      <c r="G93" s="230">
        <v>470</v>
      </c>
      <c r="H93" s="111">
        <v>500</v>
      </c>
      <c r="I93" s="88">
        <f t="shared" si="0"/>
        <v>0.94</v>
      </c>
      <c r="J93" s="75">
        <v>500</v>
      </c>
      <c r="K93" s="89">
        <f t="shared" si="1"/>
        <v>0.94</v>
      </c>
      <c r="L93" s="75">
        <v>477.534</v>
      </c>
      <c r="M93" s="89">
        <f t="shared" si="2"/>
        <v>0.9842231129092379</v>
      </c>
    </row>
    <row r="94" spans="1:13" ht="12.75">
      <c r="A94" s="85" t="s">
        <v>69</v>
      </c>
      <c r="B94" s="86" t="s">
        <v>86</v>
      </c>
      <c r="C94" s="85" t="s">
        <v>8</v>
      </c>
      <c r="D94" s="85" t="s">
        <v>87</v>
      </c>
      <c r="E94" s="85" t="s">
        <v>10</v>
      </c>
      <c r="F94" s="87" t="s">
        <v>86</v>
      </c>
      <c r="G94" s="230">
        <v>3.5</v>
      </c>
      <c r="H94" s="111">
        <v>5</v>
      </c>
      <c r="I94" s="88">
        <f t="shared" si="0"/>
        <v>0.7</v>
      </c>
      <c r="J94" s="75">
        <v>5</v>
      </c>
      <c r="K94" s="89">
        <f t="shared" si="1"/>
        <v>0.7</v>
      </c>
      <c r="L94" s="75">
        <v>3.675</v>
      </c>
      <c r="M94" s="89">
        <f t="shared" si="2"/>
        <v>0.9523809523809524</v>
      </c>
    </row>
    <row r="95" spans="1:13" ht="12.75">
      <c r="A95" s="85" t="s">
        <v>69</v>
      </c>
      <c r="B95" s="86" t="s">
        <v>88</v>
      </c>
      <c r="C95" s="85" t="s">
        <v>8</v>
      </c>
      <c r="D95" s="85" t="s">
        <v>89</v>
      </c>
      <c r="E95" s="85" t="s">
        <v>10</v>
      </c>
      <c r="F95" s="87" t="s">
        <v>88</v>
      </c>
      <c r="G95" s="230">
        <v>220</v>
      </c>
      <c r="H95" s="111">
        <v>320</v>
      </c>
      <c r="I95" s="88">
        <f t="shared" si="0"/>
        <v>0.6875</v>
      </c>
      <c r="J95" s="75">
        <v>320</v>
      </c>
      <c r="K95" s="89">
        <f t="shared" si="1"/>
        <v>0.6875</v>
      </c>
      <c r="L95" s="75">
        <v>213.999</v>
      </c>
      <c r="M95" s="89">
        <f t="shared" si="2"/>
        <v>1.0280421871130239</v>
      </c>
    </row>
    <row r="96" spans="1:13" ht="12.75">
      <c r="A96" s="85" t="s">
        <v>69</v>
      </c>
      <c r="B96" s="86" t="s">
        <v>90</v>
      </c>
      <c r="C96" s="85" t="s">
        <v>8</v>
      </c>
      <c r="D96" s="85" t="s">
        <v>91</v>
      </c>
      <c r="E96" s="85" t="s">
        <v>10</v>
      </c>
      <c r="F96" s="87" t="s">
        <v>90</v>
      </c>
      <c r="G96" s="230">
        <v>50</v>
      </c>
      <c r="H96" s="111">
        <v>62</v>
      </c>
      <c r="I96" s="88">
        <f t="shared" si="0"/>
        <v>0.8064516129032258</v>
      </c>
      <c r="J96" s="75">
        <v>62</v>
      </c>
      <c r="K96" s="89">
        <f t="shared" si="1"/>
        <v>0.8064516129032258</v>
      </c>
      <c r="L96" s="75">
        <v>41.528</v>
      </c>
      <c r="M96" s="89">
        <f t="shared" si="2"/>
        <v>1.204006935079946</v>
      </c>
    </row>
    <row r="97" spans="1:13" ht="12.75">
      <c r="A97" s="85" t="s">
        <v>69</v>
      </c>
      <c r="B97" s="86" t="s">
        <v>92</v>
      </c>
      <c r="C97" s="85" t="s">
        <v>8</v>
      </c>
      <c r="D97" s="85" t="s">
        <v>93</v>
      </c>
      <c r="E97" s="85" t="s">
        <v>10</v>
      </c>
      <c r="F97" s="87" t="s">
        <v>92</v>
      </c>
      <c r="G97" s="230">
        <v>40</v>
      </c>
      <c r="H97" s="111">
        <v>20</v>
      </c>
      <c r="I97" s="88">
        <f t="shared" si="0"/>
        <v>2</v>
      </c>
      <c r="J97" s="75">
        <v>20</v>
      </c>
      <c r="K97" s="89">
        <f t="shared" si="1"/>
        <v>2</v>
      </c>
      <c r="L97" s="75">
        <v>50.868</v>
      </c>
      <c r="M97" s="89">
        <f t="shared" si="2"/>
        <v>0.7863489816780687</v>
      </c>
    </row>
    <row r="98" spans="1:13" ht="12.75">
      <c r="A98" s="85" t="s">
        <v>69</v>
      </c>
      <c r="B98" s="86" t="s">
        <v>94</v>
      </c>
      <c r="C98" s="85" t="s">
        <v>8</v>
      </c>
      <c r="D98" s="85" t="s">
        <v>95</v>
      </c>
      <c r="E98" s="85" t="s">
        <v>10</v>
      </c>
      <c r="F98" s="87" t="s">
        <v>94</v>
      </c>
      <c r="G98" s="230">
        <v>150</v>
      </c>
      <c r="H98" s="111">
        <v>0</v>
      </c>
      <c r="I98" s="88">
        <f t="shared" si="0"/>
        <v>0</v>
      </c>
      <c r="J98" s="75">
        <v>258.56</v>
      </c>
      <c r="K98" s="89">
        <f t="shared" si="1"/>
        <v>0.5801361386138614</v>
      </c>
      <c r="L98" s="75">
        <v>306.848</v>
      </c>
      <c r="M98" s="89">
        <f t="shared" si="2"/>
        <v>0.4888413807487746</v>
      </c>
    </row>
    <row r="99" spans="1:13" ht="12.75">
      <c r="A99" s="85" t="s">
        <v>69</v>
      </c>
      <c r="B99" s="86" t="s">
        <v>96</v>
      </c>
      <c r="C99" s="85" t="s">
        <v>8</v>
      </c>
      <c r="D99" s="85" t="s">
        <v>97</v>
      </c>
      <c r="E99" s="85" t="s">
        <v>10</v>
      </c>
      <c r="F99" s="87" t="s">
        <v>96</v>
      </c>
      <c r="G99" s="230">
        <v>750</v>
      </c>
      <c r="H99" s="111">
        <v>0</v>
      </c>
      <c r="I99" s="88">
        <f t="shared" si="0"/>
        <v>0</v>
      </c>
      <c r="J99" s="75">
        <v>269.53</v>
      </c>
      <c r="K99" s="89">
        <f t="shared" si="1"/>
        <v>2.782621600563945</v>
      </c>
      <c r="L99" s="75">
        <v>488.911</v>
      </c>
      <c r="M99" s="89">
        <f t="shared" si="2"/>
        <v>1.5340215294808257</v>
      </c>
    </row>
    <row r="100" spans="1:13" ht="12.75">
      <c r="A100" s="85" t="s">
        <v>69</v>
      </c>
      <c r="B100" s="86" t="s">
        <v>98</v>
      </c>
      <c r="C100" s="85" t="s">
        <v>8</v>
      </c>
      <c r="D100" s="85" t="s">
        <v>99</v>
      </c>
      <c r="E100" s="85" t="s">
        <v>10</v>
      </c>
      <c r="F100" s="87" t="s">
        <v>98</v>
      </c>
      <c r="G100" s="230">
        <v>11088</v>
      </c>
      <c r="H100" s="111">
        <v>11088</v>
      </c>
      <c r="I100" s="88">
        <f t="shared" si="0"/>
        <v>1</v>
      </c>
      <c r="J100" s="75">
        <v>11088</v>
      </c>
      <c r="K100" s="89">
        <f t="shared" si="1"/>
        <v>1</v>
      </c>
      <c r="L100" s="75">
        <v>9670.966</v>
      </c>
      <c r="M100" s="89">
        <f t="shared" si="2"/>
        <v>1.1465245560784723</v>
      </c>
    </row>
    <row r="101" spans="1:13" ht="13.5" thickBot="1">
      <c r="A101" s="85" t="s">
        <v>69</v>
      </c>
      <c r="B101" s="86" t="s">
        <v>816</v>
      </c>
      <c r="C101" s="85" t="s">
        <v>8</v>
      </c>
      <c r="D101" s="85" t="s">
        <v>817</v>
      </c>
      <c r="E101" s="85" t="s">
        <v>10</v>
      </c>
      <c r="F101" s="87" t="s">
        <v>816</v>
      </c>
      <c r="G101" s="230">
        <v>0</v>
      </c>
      <c r="H101" s="111">
        <v>9165</v>
      </c>
      <c r="I101" s="88">
        <f t="shared" si="0"/>
        <v>0</v>
      </c>
      <c r="J101" s="75">
        <v>9165</v>
      </c>
      <c r="K101" s="89">
        <f t="shared" si="1"/>
        <v>0</v>
      </c>
      <c r="L101" s="75">
        <v>9162.108</v>
      </c>
      <c r="M101" s="89">
        <f t="shared" si="2"/>
        <v>0</v>
      </c>
    </row>
    <row r="102" spans="1:15" ht="12.75">
      <c r="A102" s="90"/>
      <c r="B102" s="91" t="s">
        <v>11</v>
      </c>
      <c r="C102" s="90" t="s">
        <v>8</v>
      </c>
      <c r="D102" s="90"/>
      <c r="E102" s="90"/>
      <c r="F102" s="92"/>
      <c r="G102" s="231">
        <f>SUM(G87:G101)</f>
        <v>72731.5</v>
      </c>
      <c r="H102" s="93">
        <f>SUM(H87:H101)</f>
        <v>71004</v>
      </c>
      <c r="I102" s="94">
        <f t="shared" si="0"/>
        <v>1.0243296152329446</v>
      </c>
      <c r="J102" s="93">
        <f>SUM(J87:J101)</f>
        <v>71532.09</v>
      </c>
      <c r="K102" s="94">
        <f t="shared" si="1"/>
        <v>1.0167674396204558</v>
      </c>
      <c r="L102" s="93">
        <f>SUM(L87:L101)</f>
        <v>65060.931000000004</v>
      </c>
      <c r="M102" s="94">
        <f t="shared" si="2"/>
        <v>1.11789823603969</v>
      </c>
      <c r="O102" s="80">
        <f>G102-H102</f>
        <v>1727.5</v>
      </c>
    </row>
    <row r="103" spans="9:13" ht="12.75">
      <c r="I103" s="88"/>
      <c r="K103" s="89"/>
      <c r="M103" s="89"/>
    </row>
    <row r="104" spans="1:13" ht="12.75">
      <c r="A104" s="85" t="s">
        <v>69</v>
      </c>
      <c r="B104" s="86" t="s">
        <v>100</v>
      </c>
      <c r="C104" s="85" t="s">
        <v>18</v>
      </c>
      <c r="D104" s="85" t="s">
        <v>19</v>
      </c>
      <c r="E104" s="85" t="s">
        <v>10</v>
      </c>
      <c r="F104" s="87" t="s">
        <v>110</v>
      </c>
      <c r="G104" s="230">
        <v>0</v>
      </c>
      <c r="H104" s="111">
        <v>20</v>
      </c>
      <c r="I104" s="88">
        <f>IF(H104=0,0,$G104/H104)</f>
        <v>0</v>
      </c>
      <c r="J104" s="75">
        <v>20</v>
      </c>
      <c r="K104" s="89">
        <f>IF(J104=0,0,$G104/J104)</f>
        <v>0</v>
      </c>
      <c r="L104" s="75">
        <v>0</v>
      </c>
      <c r="M104" s="89">
        <f>IF(L104=0,0,$G104/L104)</f>
        <v>0</v>
      </c>
    </row>
    <row r="105" spans="1:13" ht="13.5" thickBot="1">
      <c r="A105" s="85" t="s">
        <v>69</v>
      </c>
      <c r="B105" s="86" t="s">
        <v>100</v>
      </c>
      <c r="C105" s="85" t="s">
        <v>18</v>
      </c>
      <c r="D105" s="85" t="s">
        <v>101</v>
      </c>
      <c r="E105" s="85" t="s">
        <v>10</v>
      </c>
      <c r="F105" s="87" t="s">
        <v>102</v>
      </c>
      <c r="G105" s="230">
        <v>15</v>
      </c>
      <c r="H105" s="111">
        <v>20</v>
      </c>
      <c r="I105" s="88">
        <f>IF(H105=0,0,$G105/H105)</f>
        <v>0.75</v>
      </c>
      <c r="J105" s="75">
        <v>20</v>
      </c>
      <c r="K105" s="89">
        <f>IF(J105=0,0,$G105/J105)</f>
        <v>0.75</v>
      </c>
      <c r="L105" s="75">
        <v>15.665</v>
      </c>
      <c r="M105" s="89">
        <f>IF(L105=0,0,$G105/L105)</f>
        <v>0.9575486753909991</v>
      </c>
    </row>
    <row r="106" spans="1:13" ht="12.75">
      <c r="A106" s="90"/>
      <c r="B106" s="91" t="s">
        <v>11</v>
      </c>
      <c r="C106" s="90" t="s">
        <v>18</v>
      </c>
      <c r="D106" s="90"/>
      <c r="E106" s="90"/>
      <c r="F106" s="92"/>
      <c r="G106" s="231">
        <f>SUM(G104:G105)</f>
        <v>15</v>
      </c>
      <c r="H106" s="93">
        <f>SUM(H104:H105)</f>
        <v>40</v>
      </c>
      <c r="I106" s="94">
        <f>IF(H106=0,0,$G106/H106)</f>
        <v>0.375</v>
      </c>
      <c r="J106" s="93">
        <f>SUM(J104:J105)</f>
        <v>40</v>
      </c>
      <c r="K106" s="94">
        <f>IF(J106=0,0,$G106/J106)</f>
        <v>0.375</v>
      </c>
      <c r="L106" s="93">
        <f>SUM(L104:L105)</f>
        <v>15.665</v>
      </c>
      <c r="M106" s="94">
        <f>IF(L106=0,0,$G106/L106)</f>
        <v>0.9575486753909991</v>
      </c>
    </row>
    <row r="107" spans="9:13" ht="12.75">
      <c r="I107" s="88"/>
      <c r="K107" s="89"/>
      <c r="M107" s="89"/>
    </row>
    <row r="108" spans="1:13" ht="13.5" thickBot="1">
      <c r="A108" s="85" t="s">
        <v>69</v>
      </c>
      <c r="B108" s="86" t="s">
        <v>103</v>
      </c>
      <c r="C108" s="85" t="s">
        <v>104</v>
      </c>
      <c r="D108" s="85" t="s">
        <v>105</v>
      </c>
      <c r="E108" s="85" t="s">
        <v>10</v>
      </c>
      <c r="F108" s="87" t="s">
        <v>106</v>
      </c>
      <c r="G108" s="230">
        <v>130</v>
      </c>
      <c r="H108" s="111">
        <v>100</v>
      </c>
      <c r="I108" s="88">
        <f>IF(H108=0,0,$G108/H108)</f>
        <v>1.3</v>
      </c>
      <c r="J108" s="75">
        <v>100</v>
      </c>
      <c r="K108" s="89">
        <f>IF(J108=0,0,$G108/J108)</f>
        <v>1.3</v>
      </c>
      <c r="L108" s="75">
        <v>145.249</v>
      </c>
      <c r="M108" s="89">
        <f>IF(L108=0,0,$G108/L108)</f>
        <v>0.8950147677436678</v>
      </c>
    </row>
    <row r="109" spans="1:13" ht="12.75">
      <c r="A109" s="90"/>
      <c r="B109" s="91" t="s">
        <v>11</v>
      </c>
      <c r="C109" s="90" t="s">
        <v>104</v>
      </c>
      <c r="D109" s="90"/>
      <c r="E109" s="90"/>
      <c r="F109" s="92"/>
      <c r="G109" s="231">
        <f>SUM(G108)</f>
        <v>130</v>
      </c>
      <c r="H109" s="93">
        <f>SUM(H108)</f>
        <v>100</v>
      </c>
      <c r="I109" s="94">
        <f>IF(H109=0,0,$G109/H109)</f>
        <v>1.3</v>
      </c>
      <c r="J109" s="93">
        <f>SUM(J108)</f>
        <v>100</v>
      </c>
      <c r="K109" s="94">
        <f>IF(J109=0,0,$G109/J109)</f>
        <v>1.3</v>
      </c>
      <c r="L109" s="93">
        <f>SUM(L108)</f>
        <v>145.249</v>
      </c>
      <c r="M109" s="94">
        <f>IF(L109=0,0,$G109/L109)</f>
        <v>0.8950147677436678</v>
      </c>
    </row>
    <row r="110" spans="1:13" ht="12.75">
      <c r="A110" s="100"/>
      <c r="B110" s="101"/>
      <c r="C110" s="100"/>
      <c r="D110" s="100"/>
      <c r="E110" s="100"/>
      <c r="F110" s="102"/>
      <c r="G110" s="232"/>
      <c r="H110" s="103"/>
      <c r="I110" s="98"/>
      <c r="J110" s="103"/>
      <c r="K110" s="98"/>
      <c r="L110" s="103"/>
      <c r="M110" s="98"/>
    </row>
    <row r="111" spans="1:13" ht="13.5" thickBot="1">
      <c r="A111" s="85" t="s">
        <v>69</v>
      </c>
      <c r="B111" s="86" t="s">
        <v>812</v>
      </c>
      <c r="C111" s="85" t="s">
        <v>436</v>
      </c>
      <c r="D111" s="85" t="s">
        <v>33</v>
      </c>
      <c r="E111" s="85" t="s">
        <v>10</v>
      </c>
      <c r="F111" s="87" t="s">
        <v>813</v>
      </c>
      <c r="G111" s="230">
        <v>0</v>
      </c>
      <c r="H111" s="111">
        <v>600</v>
      </c>
      <c r="I111" s="88">
        <f>IF(H111=0,0,$G111/H111)</f>
        <v>0</v>
      </c>
      <c r="J111" s="75">
        <v>600</v>
      </c>
      <c r="K111" s="89">
        <f>IF(J111=0,0,$G111/J111)</f>
        <v>0</v>
      </c>
      <c r="L111" s="75">
        <v>0</v>
      </c>
      <c r="M111" s="89">
        <f>IF(L111=0,0,$G111/L111)</f>
        <v>0</v>
      </c>
    </row>
    <row r="112" spans="1:13" ht="12.75">
      <c r="A112" s="90"/>
      <c r="B112" s="91" t="s">
        <v>11</v>
      </c>
      <c r="C112" s="90" t="s">
        <v>436</v>
      </c>
      <c r="D112" s="90"/>
      <c r="E112" s="90"/>
      <c r="F112" s="92"/>
      <c r="G112" s="231">
        <f>SUM(G111)</f>
        <v>0</v>
      </c>
      <c r="H112" s="93">
        <f>SUM(H111)</f>
        <v>600</v>
      </c>
      <c r="I112" s="94">
        <f>IF(H112=0,0,$G112/H112)</f>
        <v>0</v>
      </c>
      <c r="J112" s="93">
        <f>SUM(J111)</f>
        <v>600</v>
      </c>
      <c r="K112" s="94">
        <f>IF(J112=0,0,$G112/J112)</f>
        <v>0</v>
      </c>
      <c r="L112" s="93">
        <f>SUM(L111)</f>
        <v>0</v>
      </c>
      <c r="M112" s="94">
        <f>IF(L112=0,0,$G112/L112)</f>
        <v>0</v>
      </c>
    </row>
    <row r="113" spans="1:13" ht="12.75">
      <c r="A113" s="100"/>
      <c r="B113" s="101"/>
      <c r="C113" s="100"/>
      <c r="D113" s="100"/>
      <c r="E113" s="100"/>
      <c r="F113" s="102"/>
      <c r="G113" s="232"/>
      <c r="H113" s="103"/>
      <c r="I113" s="98"/>
      <c r="J113" s="103"/>
      <c r="K113" s="98"/>
      <c r="L113" s="103"/>
      <c r="M113" s="98"/>
    </row>
    <row r="114" spans="1:13" ht="12.75">
      <c r="A114" s="85" t="s">
        <v>69</v>
      </c>
      <c r="B114" s="86" t="s">
        <v>782</v>
      </c>
      <c r="C114" s="85" t="s">
        <v>8</v>
      </c>
      <c r="D114" s="85" t="s">
        <v>781</v>
      </c>
      <c r="E114" s="85" t="s">
        <v>10</v>
      </c>
      <c r="F114" s="87" t="s">
        <v>783</v>
      </c>
      <c r="G114" s="230">
        <v>100</v>
      </c>
      <c r="H114" s="111">
        <v>0</v>
      </c>
      <c r="I114" s="88">
        <f>IF(H114=0,0,$G114/H114)</f>
        <v>0</v>
      </c>
      <c r="J114" s="75">
        <v>0</v>
      </c>
      <c r="K114" s="89">
        <f>IF(J114=0,0,$G114/J114)</f>
        <v>0</v>
      </c>
      <c r="L114" s="75">
        <v>0</v>
      </c>
      <c r="M114" s="89">
        <f>IF(L114=0,0,$G114/L114)</f>
        <v>0</v>
      </c>
    </row>
    <row r="115" spans="1:13" ht="13.5" thickBot="1">
      <c r="A115" s="85" t="s">
        <v>69</v>
      </c>
      <c r="B115" s="86" t="s">
        <v>782</v>
      </c>
      <c r="C115" s="85" t="s">
        <v>8</v>
      </c>
      <c r="D115" s="85" t="s">
        <v>781</v>
      </c>
      <c r="E115" s="85" t="s">
        <v>10</v>
      </c>
      <c r="F115" s="87" t="s">
        <v>784</v>
      </c>
      <c r="G115" s="230">
        <v>900</v>
      </c>
      <c r="H115" s="111">
        <v>694.467</v>
      </c>
      <c r="I115" s="88">
        <f>IF(H115=0,0,$G115/H115)</f>
        <v>1.2959579072871714</v>
      </c>
      <c r="J115" s="75">
        <v>694.467</v>
      </c>
      <c r="K115" s="89">
        <f>IF(J115=0,0,$G115/J115)</f>
        <v>1.2959579072871714</v>
      </c>
      <c r="L115" s="75">
        <v>694.746</v>
      </c>
      <c r="M115" s="89">
        <f>IF(L115=0,0,$G115/L115)</f>
        <v>1.2954374692333601</v>
      </c>
    </row>
    <row r="116" spans="1:13" ht="12.75">
      <c r="A116" s="90"/>
      <c r="B116" s="91" t="s">
        <v>11</v>
      </c>
      <c r="C116" s="90" t="s">
        <v>8</v>
      </c>
      <c r="D116" s="90"/>
      <c r="E116" s="90"/>
      <c r="F116" s="92"/>
      <c r="G116" s="231">
        <f>SUM(G114:G115)</f>
        <v>1000</v>
      </c>
      <c r="H116" s="93">
        <f>SUM(H114:H115)</f>
        <v>694.467</v>
      </c>
      <c r="I116" s="94">
        <f>IF(H116=0,0,$G116/H116)</f>
        <v>1.4399532303190792</v>
      </c>
      <c r="J116" s="93">
        <f>SUM(J114:J115)</f>
        <v>694.467</v>
      </c>
      <c r="K116" s="94">
        <f>IF(J116=0,0,$G116/J116)</f>
        <v>1.4399532303190792</v>
      </c>
      <c r="L116" s="93">
        <f>SUM(L114:L115)</f>
        <v>694.746</v>
      </c>
      <c r="M116" s="94">
        <f>IF(L116=0,0,$G116/L116)</f>
        <v>1.4393749658148447</v>
      </c>
    </row>
    <row r="117" spans="9:13" ht="12.75">
      <c r="I117" s="88"/>
      <c r="K117" s="89"/>
      <c r="M117" s="89"/>
    </row>
    <row r="118" spans="1:13" ht="12.75">
      <c r="A118" s="81"/>
      <c r="B118" s="95" t="s">
        <v>107</v>
      </c>
      <c r="C118" s="81"/>
      <c r="D118" s="81"/>
      <c r="E118" s="81"/>
      <c r="F118" s="96"/>
      <c r="G118" s="232">
        <f>SUM(G102,G106,G109,G112,G116)</f>
        <v>73876.5</v>
      </c>
      <c r="H118" s="97">
        <f>SUM(H102,H106,H109,H112,H116)</f>
        <v>72438.467</v>
      </c>
      <c r="I118" s="97">
        <f>SUM(I102,I106,I109,I116)</f>
        <v>4.139282845552024</v>
      </c>
      <c r="J118" s="97">
        <f>SUM(J102,J106,J109,J112,J116)</f>
        <v>72966.557</v>
      </c>
      <c r="K118" s="97">
        <f>SUM(K102,K106,K109,K116)</f>
        <v>4.1317206699395355</v>
      </c>
      <c r="L118" s="97">
        <f>SUM(L102,L106,L109,L112,L116)</f>
        <v>65916.59100000001</v>
      </c>
      <c r="M118" s="97">
        <f>IF(L118=0,0,$G118/L118)</f>
        <v>1.1207572915899122</v>
      </c>
    </row>
    <row r="119" spans="9:13" ht="12.75">
      <c r="I119" s="88"/>
      <c r="K119" s="89"/>
      <c r="M119" s="89"/>
    </row>
    <row r="120" spans="9:13" ht="12.75">
      <c r="I120" s="88"/>
      <c r="K120" s="89"/>
      <c r="M120" s="89"/>
    </row>
    <row r="121" spans="1:13" ht="13.5" thickBot="1">
      <c r="A121" s="85" t="s">
        <v>108</v>
      </c>
      <c r="B121" s="86" t="s">
        <v>814</v>
      </c>
      <c r="C121" s="85" t="s">
        <v>8</v>
      </c>
      <c r="D121" s="85" t="s">
        <v>143</v>
      </c>
      <c r="E121" s="85" t="s">
        <v>10</v>
      </c>
      <c r="F121" s="87" t="s">
        <v>815</v>
      </c>
      <c r="G121" s="230">
        <v>0</v>
      </c>
      <c r="H121" s="111">
        <f>5052+1295</f>
        <v>6347</v>
      </c>
      <c r="I121" s="88">
        <f>IF(H121=0,0,$G121/H121)</f>
        <v>0</v>
      </c>
      <c r="J121" s="75">
        <f>5052+1295</f>
        <v>6347</v>
      </c>
      <c r="K121" s="89">
        <f>IF(J121=0,0,$G121/J121)</f>
        <v>0</v>
      </c>
      <c r="L121" s="75">
        <f>4737.603+1281.27</f>
        <v>6018.873</v>
      </c>
      <c r="M121" s="89">
        <f>IF(L121=0,0,$G121/L121)</f>
        <v>0</v>
      </c>
    </row>
    <row r="122" spans="1:13" ht="12.75">
      <c r="A122" s="90"/>
      <c r="B122" s="91" t="s">
        <v>11</v>
      </c>
      <c r="C122" s="90" t="s">
        <v>8</v>
      </c>
      <c r="D122" s="90"/>
      <c r="E122" s="90"/>
      <c r="F122" s="92"/>
      <c r="G122" s="231">
        <f>SUM(G121)</f>
        <v>0</v>
      </c>
      <c r="H122" s="93">
        <f>SUM(H121)</f>
        <v>6347</v>
      </c>
      <c r="I122" s="94">
        <f>IF(H122=0,0,$G122/H122)</f>
        <v>0</v>
      </c>
      <c r="J122" s="93">
        <f>SUM(J121)</f>
        <v>6347</v>
      </c>
      <c r="K122" s="94">
        <f>IF(J122=0,0,$G122/J122)</f>
        <v>0</v>
      </c>
      <c r="L122" s="93">
        <f>SUM(L121)</f>
        <v>6018.873</v>
      </c>
      <c r="M122" s="94">
        <f>IF(L122=0,0,$G122/L122)</f>
        <v>0</v>
      </c>
    </row>
    <row r="123" spans="9:13" ht="12.75">
      <c r="I123" s="88"/>
      <c r="K123" s="89"/>
      <c r="M123" s="89"/>
    </row>
    <row r="124" spans="1:13" ht="13.5" thickBot="1">
      <c r="A124" s="85" t="s">
        <v>108</v>
      </c>
      <c r="B124" s="86" t="s">
        <v>109</v>
      </c>
      <c r="C124" s="85" t="s">
        <v>18</v>
      </c>
      <c r="D124" s="85" t="s">
        <v>19</v>
      </c>
      <c r="E124" s="85" t="s">
        <v>10</v>
      </c>
      <c r="F124" s="87" t="s">
        <v>110</v>
      </c>
      <c r="G124" s="230">
        <f>154+10.5*12*1.2</f>
        <v>305.2</v>
      </c>
      <c r="H124" s="111">
        <v>471</v>
      </c>
      <c r="I124" s="88">
        <f>IF(H124=0,0,$G124/H124)</f>
        <v>0.6479830148619957</v>
      </c>
      <c r="J124" s="75">
        <v>471</v>
      </c>
      <c r="K124" s="89">
        <f>IF(J124=0,0,$G124/J124)</f>
        <v>0.6479830148619957</v>
      </c>
      <c r="L124" s="75">
        <f>127.6+168.876</f>
        <v>296.476</v>
      </c>
      <c r="M124" s="89">
        <f>IF(L124=0,0,$G124/L124)</f>
        <v>1.0294256533412485</v>
      </c>
    </row>
    <row r="125" spans="1:13" ht="12.75">
      <c r="A125" s="90"/>
      <c r="B125" s="91" t="s">
        <v>11</v>
      </c>
      <c r="C125" s="90" t="s">
        <v>18</v>
      </c>
      <c r="D125" s="90"/>
      <c r="E125" s="90"/>
      <c r="F125" s="92"/>
      <c r="G125" s="231">
        <f>SUM(G124)</f>
        <v>305.2</v>
      </c>
      <c r="H125" s="93">
        <f>SUM(H124)</f>
        <v>471</v>
      </c>
      <c r="I125" s="94">
        <f>IF(H125=0,0,$G125/H125)</f>
        <v>0.6479830148619957</v>
      </c>
      <c r="J125" s="93">
        <f>SUM(J124)</f>
        <v>471</v>
      </c>
      <c r="K125" s="94">
        <f>IF(J125=0,0,$G125/J125)</f>
        <v>0.6479830148619957</v>
      </c>
      <c r="L125" s="93">
        <f>SUM(L124)</f>
        <v>296.476</v>
      </c>
      <c r="M125" s="94">
        <f>IF(L125=0,0,$G125/L125)</f>
        <v>1.0294256533412485</v>
      </c>
    </row>
    <row r="126" spans="9:13" ht="12.75">
      <c r="I126" s="88"/>
      <c r="K126" s="89"/>
      <c r="M126" s="89"/>
    </row>
    <row r="127" spans="1:13" ht="12.75">
      <c r="A127" s="81"/>
      <c r="B127" s="95" t="s">
        <v>111</v>
      </c>
      <c r="C127" s="81"/>
      <c r="D127" s="81"/>
      <c r="E127" s="81"/>
      <c r="F127" s="96"/>
      <c r="G127" s="232">
        <f>SUM(G122,G125)</f>
        <v>305.2</v>
      </c>
      <c r="H127" s="97">
        <f>SUM(H122,H125)</f>
        <v>6818</v>
      </c>
      <c r="I127" s="98">
        <f>IF(H127=0,0,$G127/H127)</f>
        <v>0.04476386036960985</v>
      </c>
      <c r="J127" s="97">
        <f>SUM(J122,J125)</f>
        <v>6818</v>
      </c>
      <c r="K127" s="99">
        <f>IF(J127=0,0,$G127/J127)</f>
        <v>0.04476386036960985</v>
      </c>
      <c r="L127" s="97">
        <f>SUM(L122,L125)</f>
        <v>6315.348999999999</v>
      </c>
      <c r="M127" s="99">
        <f>IF(L127=0,0,$G127/L127)</f>
        <v>0.04832670371819515</v>
      </c>
    </row>
    <row r="128" spans="9:13" ht="12.75">
      <c r="I128" s="88"/>
      <c r="K128" s="89"/>
      <c r="M128" s="89"/>
    </row>
    <row r="129" spans="9:13" ht="12.75">
      <c r="I129" s="88"/>
      <c r="K129" s="89"/>
      <c r="M129" s="89"/>
    </row>
    <row r="130" spans="1:13" ht="13.5" thickBot="1">
      <c r="A130" s="85" t="s">
        <v>112</v>
      </c>
      <c r="B130" s="86" t="s">
        <v>113</v>
      </c>
      <c r="C130" s="85" t="s">
        <v>8</v>
      </c>
      <c r="D130" s="85" t="s">
        <v>27</v>
      </c>
      <c r="E130" s="85" t="s">
        <v>10</v>
      </c>
      <c r="F130" s="87" t="s">
        <v>43</v>
      </c>
      <c r="G130" s="230">
        <v>50</v>
      </c>
      <c r="H130" s="111">
        <v>80</v>
      </c>
      <c r="I130" s="88">
        <f>IF(H130=0,0,$G130/H130)</f>
        <v>0.625</v>
      </c>
      <c r="J130" s="75">
        <v>80</v>
      </c>
      <c r="K130" s="89">
        <f>IF(J130=0,0,$G130/J130)</f>
        <v>0.625</v>
      </c>
      <c r="L130" s="75">
        <v>63.63</v>
      </c>
      <c r="M130" s="89">
        <f>IF(L130=0,0,$G130/L130)</f>
        <v>0.7857928650007857</v>
      </c>
    </row>
    <row r="131" spans="1:13" ht="12.75">
      <c r="A131" s="90"/>
      <c r="B131" s="91" t="s">
        <v>11</v>
      </c>
      <c r="C131" s="90" t="s">
        <v>8</v>
      </c>
      <c r="D131" s="90"/>
      <c r="E131" s="90"/>
      <c r="F131" s="92"/>
      <c r="G131" s="231">
        <f>SUM(G130)</f>
        <v>50</v>
      </c>
      <c r="H131" s="93">
        <f>SUM(H130)</f>
        <v>80</v>
      </c>
      <c r="I131" s="94">
        <f>IF(H131=0,0,$G131/H131)</f>
        <v>0.625</v>
      </c>
      <c r="J131" s="93">
        <f>SUM(J130)</f>
        <v>80</v>
      </c>
      <c r="K131" s="94">
        <f>IF(J131=0,0,$G131/J131)</f>
        <v>0.625</v>
      </c>
      <c r="L131" s="93">
        <f>SUM(L130)</f>
        <v>63.63</v>
      </c>
      <c r="M131" s="94">
        <f>IF(L131=0,0,$G131/L131)</f>
        <v>0.7857928650007857</v>
      </c>
    </row>
    <row r="132" spans="9:13" ht="12.75">
      <c r="I132" s="88"/>
      <c r="K132" s="89"/>
      <c r="M132" s="89"/>
    </row>
    <row r="133" spans="1:13" ht="13.5" thickBot="1">
      <c r="A133" s="85" t="s">
        <v>112</v>
      </c>
      <c r="B133" s="86" t="s">
        <v>114</v>
      </c>
      <c r="C133" s="85" t="s">
        <v>115</v>
      </c>
      <c r="D133" s="85" t="s">
        <v>19</v>
      </c>
      <c r="E133" s="85" t="s">
        <v>10</v>
      </c>
      <c r="F133" s="87" t="s">
        <v>116</v>
      </c>
      <c r="G133" s="230">
        <v>18000</v>
      </c>
      <c r="H133" s="111">
        <v>18000</v>
      </c>
      <c r="I133" s="88">
        <f>IF(H133=0,0,$G133/H133)</f>
        <v>1</v>
      </c>
      <c r="J133" s="75">
        <v>18000</v>
      </c>
      <c r="K133" s="89">
        <f>IF(J133=0,0,$G133/J133)</f>
        <v>1</v>
      </c>
      <c r="L133" s="75">
        <v>12807.943</v>
      </c>
      <c r="M133" s="89">
        <f>IF(L133=0,0,$G133/L133)</f>
        <v>1.405377897137737</v>
      </c>
    </row>
    <row r="134" spans="1:13" ht="12.75">
      <c r="A134" s="90"/>
      <c r="B134" s="91" t="s">
        <v>11</v>
      </c>
      <c r="C134" s="90" t="s">
        <v>115</v>
      </c>
      <c r="D134" s="90"/>
      <c r="E134" s="90"/>
      <c r="F134" s="92"/>
      <c r="G134" s="231">
        <f>SUM(G133)</f>
        <v>18000</v>
      </c>
      <c r="H134" s="93">
        <f>SUM(H133)</f>
        <v>18000</v>
      </c>
      <c r="I134" s="94">
        <f>IF(H134=0,0,$G134/H134)</f>
        <v>1</v>
      </c>
      <c r="J134" s="93">
        <f>SUM(J133)</f>
        <v>18000</v>
      </c>
      <c r="K134" s="94">
        <f>IF(J134=0,0,$G134/J134)</f>
        <v>1</v>
      </c>
      <c r="L134" s="93">
        <f>SUM(L133)</f>
        <v>12807.943</v>
      </c>
      <c r="M134" s="94">
        <f>IF(L134=0,0,$G134/L134)</f>
        <v>1.405377897137737</v>
      </c>
    </row>
    <row r="135" spans="9:13" ht="12.75">
      <c r="I135" s="88"/>
      <c r="K135" s="89"/>
      <c r="M135" s="89"/>
    </row>
    <row r="136" spans="1:13" ht="12.75">
      <c r="A136" s="85" t="s">
        <v>112</v>
      </c>
      <c r="B136" s="86" t="s">
        <v>117</v>
      </c>
      <c r="C136" s="85" t="s">
        <v>118</v>
      </c>
      <c r="D136" s="85" t="s">
        <v>19</v>
      </c>
      <c r="E136" s="85" t="s">
        <v>10</v>
      </c>
      <c r="F136" s="87" t="s">
        <v>674</v>
      </c>
      <c r="G136" s="230">
        <v>0</v>
      </c>
      <c r="H136" s="111">
        <v>200</v>
      </c>
      <c r="I136" s="88">
        <f>IF(H136=0,0,$G136/H136)</f>
        <v>0</v>
      </c>
      <c r="J136" s="75">
        <v>200</v>
      </c>
      <c r="K136" s="89">
        <f>IF(J136=0,0,$G136/J136)</f>
        <v>0</v>
      </c>
      <c r="L136" s="75">
        <v>58.956</v>
      </c>
      <c r="M136" s="89">
        <f>IF(L136=0,0,$G136/L136)</f>
        <v>0</v>
      </c>
    </row>
    <row r="137" spans="1:13" ht="13.5" thickBot="1">
      <c r="A137" s="85" t="s">
        <v>112</v>
      </c>
      <c r="B137" s="86" t="s">
        <v>117</v>
      </c>
      <c r="C137" s="85" t="s">
        <v>118</v>
      </c>
      <c r="D137" s="85" t="s">
        <v>119</v>
      </c>
      <c r="E137" s="85" t="s">
        <v>10</v>
      </c>
      <c r="F137" s="87" t="s">
        <v>120</v>
      </c>
      <c r="G137" s="230">
        <v>600</v>
      </c>
      <c r="H137" s="111">
        <v>1200</v>
      </c>
      <c r="I137" s="88">
        <f>IF(H137=0,0,$G137/H137)</f>
        <v>0.5</v>
      </c>
      <c r="J137" s="75">
        <v>1200</v>
      </c>
      <c r="K137" s="89">
        <f>IF(J137=0,0,$G137/J137)</f>
        <v>0.5</v>
      </c>
      <c r="L137" s="75">
        <f>880+40</f>
        <v>920</v>
      </c>
      <c r="M137" s="89">
        <f>IF(L137=0,0,$G137/L137)</f>
        <v>0.6521739130434783</v>
      </c>
    </row>
    <row r="138" spans="1:13" ht="12.75">
      <c r="A138" s="90"/>
      <c r="B138" s="91" t="s">
        <v>11</v>
      </c>
      <c r="C138" s="90" t="s">
        <v>118</v>
      </c>
      <c r="D138" s="90"/>
      <c r="E138" s="90"/>
      <c r="F138" s="92"/>
      <c r="G138" s="231">
        <f aca="true" t="shared" si="3" ref="G138:L138">SUM(G136:G137)</f>
        <v>600</v>
      </c>
      <c r="H138" s="93">
        <f t="shared" si="3"/>
        <v>1400</v>
      </c>
      <c r="I138" s="94">
        <f>IF(H138=0,0,$G138/H138)</f>
        <v>0.42857142857142855</v>
      </c>
      <c r="J138" s="93">
        <f t="shared" si="3"/>
        <v>1400</v>
      </c>
      <c r="K138" s="94">
        <f>IF(J138=0,0,$G138/J138)</f>
        <v>0.42857142857142855</v>
      </c>
      <c r="L138" s="93">
        <f t="shared" si="3"/>
        <v>978.956</v>
      </c>
      <c r="M138" s="94">
        <f>IF(L138=0,0,$G138/L138)</f>
        <v>0.6128978217611415</v>
      </c>
    </row>
    <row r="139" spans="9:13" ht="12.75">
      <c r="I139" s="88"/>
      <c r="K139" s="89"/>
      <c r="M139" s="89"/>
    </row>
    <row r="140" spans="1:13" ht="12.75">
      <c r="A140" s="85" t="s">
        <v>112</v>
      </c>
      <c r="B140" s="86" t="s">
        <v>121</v>
      </c>
      <c r="C140" s="85" t="s">
        <v>122</v>
      </c>
      <c r="D140" s="85" t="s">
        <v>19</v>
      </c>
      <c r="E140" s="85" t="s">
        <v>10</v>
      </c>
      <c r="F140" s="87" t="s">
        <v>123</v>
      </c>
      <c r="G140" s="230">
        <v>100</v>
      </c>
      <c r="H140" s="111">
        <v>180</v>
      </c>
      <c r="I140" s="88">
        <f>IF(H140=0,0,$G140/H140)</f>
        <v>0.5555555555555556</v>
      </c>
      <c r="J140" s="75">
        <v>180</v>
      </c>
      <c r="K140" s="89">
        <f>IF(J140=0,0,$G140/J140)</f>
        <v>0.5555555555555556</v>
      </c>
      <c r="L140" s="75">
        <v>83.568</v>
      </c>
      <c r="M140" s="89">
        <f>IF(L140=0,0,$G140/L140)</f>
        <v>1.196630289105878</v>
      </c>
    </row>
    <row r="141" spans="1:13" ht="13.5" thickBot="1">
      <c r="A141" s="85" t="s">
        <v>112</v>
      </c>
      <c r="B141" s="86" t="s">
        <v>121</v>
      </c>
      <c r="C141" s="85" t="s">
        <v>122</v>
      </c>
      <c r="D141" s="85" t="s">
        <v>124</v>
      </c>
      <c r="E141" s="85" t="s">
        <v>10</v>
      </c>
      <c r="F141" s="87" t="s">
        <v>125</v>
      </c>
      <c r="G141" s="230">
        <v>705</v>
      </c>
      <c r="H141" s="111">
        <v>1000</v>
      </c>
      <c r="I141" s="88">
        <f>IF(H141=0,0,$G141/H141)</f>
        <v>0.705</v>
      </c>
      <c r="J141" s="75">
        <v>1000</v>
      </c>
      <c r="K141" s="89">
        <f>IF(J141=0,0,$G141/J141)</f>
        <v>0.705</v>
      </c>
      <c r="L141" s="75">
        <v>596.277</v>
      </c>
      <c r="M141" s="89">
        <f>IF(L141=0,0,$G141/L141)</f>
        <v>1.182336397345529</v>
      </c>
    </row>
    <row r="142" spans="1:13" ht="12.75">
      <c r="A142" s="90"/>
      <c r="B142" s="91" t="s">
        <v>11</v>
      </c>
      <c r="C142" s="90" t="s">
        <v>122</v>
      </c>
      <c r="D142" s="90"/>
      <c r="E142" s="90"/>
      <c r="F142" s="92"/>
      <c r="G142" s="231">
        <f>SUM(G140:G141)</f>
        <v>805</v>
      </c>
      <c r="H142" s="93">
        <f>SUM(H140:H141)</f>
        <v>1180</v>
      </c>
      <c r="I142" s="94">
        <f>IF(H142=0,0,$G142/H142)</f>
        <v>0.6822033898305084</v>
      </c>
      <c r="J142" s="93">
        <f>SUM(J140:J141)</f>
        <v>1180</v>
      </c>
      <c r="K142" s="94">
        <f>IF(J142=0,0,$G142/J142)</f>
        <v>0.6822033898305084</v>
      </c>
      <c r="L142" s="93">
        <f>SUM(L140:L141)</f>
        <v>679.845</v>
      </c>
      <c r="M142" s="94">
        <f>IF(L142=0,0,$G142/L142)</f>
        <v>1.184093433061948</v>
      </c>
    </row>
    <row r="143" spans="9:13" ht="12.75">
      <c r="I143" s="88"/>
      <c r="K143" s="89"/>
      <c r="M143" s="89"/>
    </row>
    <row r="144" spans="1:13" ht="12.75">
      <c r="A144" s="85" t="s">
        <v>112</v>
      </c>
      <c r="B144" s="86" t="s">
        <v>126</v>
      </c>
      <c r="C144" s="85" t="s">
        <v>127</v>
      </c>
      <c r="D144" s="85" t="s">
        <v>128</v>
      </c>
      <c r="E144" s="85" t="s">
        <v>10</v>
      </c>
      <c r="F144" s="87" t="s">
        <v>129</v>
      </c>
      <c r="G144" s="230">
        <v>200</v>
      </c>
      <c r="H144" s="111">
        <v>120</v>
      </c>
      <c r="I144" s="88">
        <f>IF(H144=0,0,$G144/H144)</f>
        <v>1.6666666666666667</v>
      </c>
      <c r="J144" s="75">
        <v>120</v>
      </c>
      <c r="K144" s="89">
        <f>IF(J144=0,0,$G144/J144)</f>
        <v>1.6666666666666667</v>
      </c>
      <c r="L144" s="75">
        <v>163.016</v>
      </c>
      <c r="M144" s="89">
        <f>IF(L144=0,0,$G144/L144)</f>
        <v>1.2268734357363695</v>
      </c>
    </row>
    <row r="145" spans="1:13" ht="13.5" thickBot="1">
      <c r="A145" s="85" t="s">
        <v>112</v>
      </c>
      <c r="B145" s="86" t="s">
        <v>126</v>
      </c>
      <c r="C145" s="85" t="s">
        <v>127</v>
      </c>
      <c r="D145" s="85" t="s">
        <v>124</v>
      </c>
      <c r="E145" s="85" t="s">
        <v>10</v>
      </c>
      <c r="F145" s="87" t="s">
        <v>130</v>
      </c>
      <c r="G145" s="230">
        <v>275</v>
      </c>
      <c r="H145" s="111">
        <v>300</v>
      </c>
      <c r="I145" s="88">
        <f>IF(H145=0,0,$G145/H145)</f>
        <v>0.9166666666666666</v>
      </c>
      <c r="J145" s="75">
        <v>300</v>
      </c>
      <c r="K145" s="89">
        <f>IF(J145=0,0,$G145/J145)</f>
        <v>0.9166666666666666</v>
      </c>
      <c r="L145" s="75">
        <v>275.379</v>
      </c>
      <c r="M145" s="89">
        <f>IF(L145=0,0,$G145/L145)</f>
        <v>0.9986237149528467</v>
      </c>
    </row>
    <row r="146" spans="1:13" ht="12.75">
      <c r="A146" s="90"/>
      <c r="B146" s="91" t="s">
        <v>11</v>
      </c>
      <c r="C146" s="90" t="s">
        <v>127</v>
      </c>
      <c r="D146" s="90"/>
      <c r="E146" s="90"/>
      <c r="F146" s="92"/>
      <c r="G146" s="231">
        <f>SUM(G144:G145)</f>
        <v>475</v>
      </c>
      <c r="H146" s="93">
        <f>SUM(H144:H145)</f>
        <v>420</v>
      </c>
      <c r="I146" s="94">
        <f>IF(H146=0,0,$G146/H146)</f>
        <v>1.130952380952381</v>
      </c>
      <c r="J146" s="93">
        <f>SUM(J144:J145)</f>
        <v>420</v>
      </c>
      <c r="K146" s="94">
        <f>IF(J146=0,0,$G146/J146)</f>
        <v>1.130952380952381</v>
      </c>
      <c r="L146" s="93">
        <f>SUM(L144:L145)</f>
        <v>438.395</v>
      </c>
      <c r="M146" s="94">
        <f>IF(L146=0,0,$G146/L146)</f>
        <v>1.083497758870425</v>
      </c>
    </row>
    <row r="147" spans="9:13" ht="12.75">
      <c r="I147" s="88"/>
      <c r="K147" s="89"/>
      <c r="M147" s="89"/>
    </row>
    <row r="148" spans="1:13" ht="12.75">
      <c r="A148" s="85" t="s">
        <v>112</v>
      </c>
      <c r="B148" s="86" t="s">
        <v>131</v>
      </c>
      <c r="C148" s="85" t="s">
        <v>132</v>
      </c>
      <c r="D148" s="85" t="s">
        <v>133</v>
      </c>
      <c r="E148" s="85" t="s">
        <v>10</v>
      </c>
      <c r="F148" s="87" t="s">
        <v>134</v>
      </c>
      <c r="G148" s="230">
        <v>300</v>
      </c>
      <c r="H148" s="111">
        <v>100</v>
      </c>
      <c r="I148" s="88">
        <f>IF(H148=0,0,$G148/H148)</f>
        <v>3</v>
      </c>
      <c r="J148" s="75">
        <v>100</v>
      </c>
      <c r="K148" s="89">
        <f>IF(J148=0,0,$G148/J148)</f>
        <v>3</v>
      </c>
      <c r="L148" s="75">
        <f>336.908-22</f>
        <v>314.908</v>
      </c>
      <c r="M148" s="89">
        <f>IF(L148=0,0,$G148/L148)</f>
        <v>0.9526591893505404</v>
      </c>
    </row>
    <row r="149" spans="1:13" ht="13.5" thickBot="1">
      <c r="A149" s="85" t="s">
        <v>112</v>
      </c>
      <c r="B149" s="86" t="s">
        <v>131</v>
      </c>
      <c r="C149" s="85" t="s">
        <v>132</v>
      </c>
      <c r="D149" s="85" t="s">
        <v>135</v>
      </c>
      <c r="E149" s="85" t="s">
        <v>10</v>
      </c>
      <c r="F149" s="87" t="s">
        <v>136</v>
      </c>
      <c r="G149" s="230">
        <v>2000</v>
      </c>
      <c r="H149" s="111">
        <v>1600</v>
      </c>
      <c r="I149" s="88">
        <f>IF(H149=0,0,$G149/H149)</f>
        <v>1.25</v>
      </c>
      <c r="J149" s="75">
        <v>1600</v>
      </c>
      <c r="K149" s="89">
        <f>IF(J149=0,0,$G149/J149)</f>
        <v>1.25</v>
      </c>
      <c r="L149" s="75">
        <v>1179.294</v>
      </c>
      <c r="M149" s="89">
        <f>IF(L149=0,0,$G149/L149)</f>
        <v>1.6959299377424117</v>
      </c>
    </row>
    <row r="150" spans="1:13" ht="12.75">
      <c r="A150" s="90"/>
      <c r="B150" s="91" t="s">
        <v>11</v>
      </c>
      <c r="C150" s="90" t="s">
        <v>132</v>
      </c>
      <c r="D150" s="90"/>
      <c r="E150" s="90"/>
      <c r="F150" s="92"/>
      <c r="G150" s="231">
        <f>SUM(G148:G149)</f>
        <v>2300</v>
      </c>
      <c r="H150" s="93">
        <f>SUM(H148:H149)</f>
        <v>1700</v>
      </c>
      <c r="I150" s="94">
        <f>IF(H150=0,0,$G150/H150)</f>
        <v>1.3529411764705883</v>
      </c>
      <c r="J150" s="93">
        <f>SUM(J148:J149)</f>
        <v>1700</v>
      </c>
      <c r="K150" s="94">
        <f>IF(J150=0,0,$G150/J150)</f>
        <v>1.3529411764705883</v>
      </c>
      <c r="L150" s="93">
        <f>SUM(L148:L149)</f>
        <v>1494.2020000000002</v>
      </c>
      <c r="M150" s="94">
        <f>IF(L150=0,0,$G150/L150)</f>
        <v>1.5392831759025887</v>
      </c>
    </row>
    <row r="151" spans="9:13" ht="12.75">
      <c r="I151" s="88"/>
      <c r="K151" s="89"/>
      <c r="M151" s="89"/>
    </row>
    <row r="152" spans="1:13" ht="12.75">
      <c r="A152" s="81"/>
      <c r="B152" s="95" t="s">
        <v>137</v>
      </c>
      <c r="C152" s="81"/>
      <c r="D152" s="81"/>
      <c r="E152" s="81"/>
      <c r="F152" s="96"/>
      <c r="G152" s="232">
        <f>SUM(G131,G134,G138,G142,G146,G150)</f>
        <v>22230</v>
      </c>
      <c r="H152" s="103">
        <f>SUM(H131,H134,H138,H142,H146,H150)</f>
        <v>22780</v>
      </c>
      <c r="I152" s="98">
        <f>IF(H152=0,0,$G152/H152)</f>
        <v>0.97585601404741</v>
      </c>
      <c r="J152" s="97">
        <f>SUM(J131,J134,J138,J142,J146,J150)</f>
        <v>22780</v>
      </c>
      <c r="K152" s="99">
        <f>IF(J152=0,0,$G152/J152)</f>
        <v>0.97585601404741</v>
      </c>
      <c r="L152" s="97">
        <f>SUM(L131,L134,L138,L142,L146,L150)</f>
        <v>16462.970999999998</v>
      </c>
      <c r="M152" s="99">
        <f>IF(L152=0,0,$G152/L152)</f>
        <v>1.3503030528329305</v>
      </c>
    </row>
    <row r="153" spans="9:13" ht="12.75">
      <c r="I153" s="88"/>
      <c r="K153" s="89"/>
      <c r="M153" s="89"/>
    </row>
    <row r="154" spans="9:13" ht="12.75">
      <c r="I154" s="88"/>
      <c r="K154" s="89"/>
      <c r="M154" s="89"/>
    </row>
    <row r="155" spans="1:13" ht="12.75">
      <c r="A155" s="85" t="s">
        <v>138</v>
      </c>
      <c r="B155" s="86" t="s">
        <v>147</v>
      </c>
      <c r="C155" s="85" t="s">
        <v>8</v>
      </c>
      <c r="D155" s="85" t="s">
        <v>27</v>
      </c>
      <c r="E155" s="85" t="s">
        <v>10</v>
      </c>
      <c r="F155" s="87" t="s">
        <v>811</v>
      </c>
      <c r="G155" s="230">
        <v>0</v>
      </c>
      <c r="H155" s="111">
        <v>5</v>
      </c>
      <c r="I155" s="88">
        <f>IF(H155=0,0,$G155/H155)</f>
        <v>0</v>
      </c>
      <c r="J155" s="75">
        <v>5</v>
      </c>
      <c r="K155" s="89">
        <f>IF(J155=0,0,$G155/J155)</f>
        <v>0</v>
      </c>
      <c r="L155" s="75">
        <v>1.3</v>
      </c>
      <c r="M155" s="89">
        <f>IF(L155=0,0,$G155/L155)</f>
        <v>0</v>
      </c>
    </row>
    <row r="156" spans="1:13" ht="12.75">
      <c r="A156" s="85" t="s">
        <v>138</v>
      </c>
      <c r="B156" s="86" t="s">
        <v>139</v>
      </c>
      <c r="C156" s="85" t="s">
        <v>8</v>
      </c>
      <c r="D156" s="85" t="s">
        <v>140</v>
      </c>
      <c r="E156" s="85" t="s">
        <v>10</v>
      </c>
      <c r="F156" s="87" t="s">
        <v>141</v>
      </c>
      <c r="G156" s="230">
        <v>223</v>
      </c>
      <c r="H156" s="111">
        <v>0</v>
      </c>
      <c r="I156" s="88">
        <f>IF(H156=0,0,$G156/H156)</f>
        <v>0</v>
      </c>
      <c r="J156" s="75">
        <v>0</v>
      </c>
      <c r="K156" s="89">
        <f>IF(J156=0,0,$G156/J156)</f>
        <v>0</v>
      </c>
      <c r="L156" s="75">
        <v>0</v>
      </c>
      <c r="M156" s="89">
        <f>IF(L156=0,0,$G156/L156)</f>
        <v>0</v>
      </c>
    </row>
    <row r="157" spans="1:13" ht="13.5" thickBot="1">
      <c r="A157" s="85" t="s">
        <v>138</v>
      </c>
      <c r="B157" s="86" t="s">
        <v>142</v>
      </c>
      <c r="C157" s="85" t="s">
        <v>8</v>
      </c>
      <c r="D157" s="85" t="s">
        <v>143</v>
      </c>
      <c r="E157" s="85" t="s">
        <v>10</v>
      </c>
      <c r="F157" s="87" t="s">
        <v>144</v>
      </c>
      <c r="G157" s="230">
        <v>0</v>
      </c>
      <c r="H157" s="111">
        <v>0</v>
      </c>
      <c r="I157" s="88">
        <f>IF(H157=0,0,$G157/H157)</f>
        <v>0</v>
      </c>
      <c r="J157" s="75">
        <v>0</v>
      </c>
      <c r="K157" s="89">
        <f>IF(J157=0,0,$G157/J157)</f>
        <v>0</v>
      </c>
      <c r="L157" s="75">
        <v>0</v>
      </c>
      <c r="M157" s="89">
        <f>IF(L157=0,0,$G157/L157)</f>
        <v>0</v>
      </c>
    </row>
    <row r="158" spans="1:13" ht="12.75">
      <c r="A158" s="90"/>
      <c r="B158" s="91" t="s">
        <v>11</v>
      </c>
      <c r="C158" s="90" t="s">
        <v>8</v>
      </c>
      <c r="D158" s="90"/>
      <c r="E158" s="90"/>
      <c r="F158" s="92"/>
      <c r="G158" s="231">
        <f>SUM(G155:G157)</f>
        <v>223</v>
      </c>
      <c r="H158" s="93">
        <f>SUM(H155:H157)</f>
        <v>5</v>
      </c>
      <c r="I158" s="94">
        <f>IF(H158=0,0,$G158/H158)</f>
        <v>44.6</v>
      </c>
      <c r="J158" s="93">
        <f>SUM(J155:J157)</f>
        <v>5</v>
      </c>
      <c r="K158" s="94">
        <f>IF(J158=0,0,$G158/J158)</f>
        <v>44.6</v>
      </c>
      <c r="L158" s="93">
        <f>SUM(L155:L157)</f>
        <v>1.3</v>
      </c>
      <c r="M158" s="94">
        <f>IF(L158=0,0,$G158/L158)</f>
        <v>171.53846153846152</v>
      </c>
    </row>
    <row r="159" spans="9:13" ht="12.75">
      <c r="I159" s="88"/>
      <c r="K159" s="89"/>
      <c r="M159" s="89"/>
    </row>
    <row r="160" spans="1:13" ht="13.5" thickBot="1">
      <c r="A160" s="85" t="s">
        <v>138</v>
      </c>
      <c r="B160" s="86" t="s">
        <v>145</v>
      </c>
      <c r="C160" s="85" t="s">
        <v>146</v>
      </c>
      <c r="D160" s="85" t="s">
        <v>19</v>
      </c>
      <c r="E160" s="85" t="s">
        <v>10</v>
      </c>
      <c r="F160" s="87" t="s">
        <v>65</v>
      </c>
      <c r="G160" s="230">
        <v>50</v>
      </c>
      <c r="H160" s="111">
        <v>70</v>
      </c>
      <c r="I160" s="88">
        <f>IF(H160=0,0,$G160/H160)</f>
        <v>0.7142857142857143</v>
      </c>
      <c r="J160" s="75">
        <v>70</v>
      </c>
      <c r="K160" s="89">
        <f>IF(J160=0,0,$G160/J160)</f>
        <v>0.7142857142857143</v>
      </c>
      <c r="L160" s="75">
        <v>64.53</v>
      </c>
      <c r="M160" s="89">
        <f>IF(L160=0,0,$G160/L160)</f>
        <v>0.7748334108166745</v>
      </c>
    </row>
    <row r="161" spans="1:13" ht="12.75">
      <c r="A161" s="90"/>
      <c r="B161" s="91" t="s">
        <v>11</v>
      </c>
      <c r="C161" s="90" t="s">
        <v>146</v>
      </c>
      <c r="D161" s="90"/>
      <c r="E161" s="90"/>
      <c r="F161" s="92"/>
      <c r="G161" s="231">
        <f>SUM(G160)</f>
        <v>50</v>
      </c>
      <c r="H161" s="93">
        <f>SUM(H160)</f>
        <v>70</v>
      </c>
      <c r="I161" s="94">
        <f>IF(H161=0,0,$G161/H161)</f>
        <v>0.7142857142857143</v>
      </c>
      <c r="J161" s="93">
        <f>SUM(J160)</f>
        <v>70</v>
      </c>
      <c r="K161" s="94">
        <f>IF(J161=0,0,$G161/J161)</f>
        <v>0.7142857142857143</v>
      </c>
      <c r="L161" s="93">
        <f>SUM(L160)</f>
        <v>64.53</v>
      </c>
      <c r="M161" s="94">
        <f>IF(L161=0,0,$G161/L161)</f>
        <v>0.7748334108166745</v>
      </c>
    </row>
    <row r="162" spans="9:13" ht="12.75">
      <c r="I162" s="88"/>
      <c r="K162" s="89"/>
      <c r="M162" s="89"/>
    </row>
    <row r="163" spans="1:13" ht="13.5" thickBot="1">
      <c r="A163" s="85" t="s">
        <v>138</v>
      </c>
      <c r="B163" s="86" t="s">
        <v>147</v>
      </c>
      <c r="C163" s="85" t="s">
        <v>148</v>
      </c>
      <c r="D163" s="85" t="s">
        <v>19</v>
      </c>
      <c r="E163" s="85" t="s">
        <v>10</v>
      </c>
      <c r="F163" s="87" t="s">
        <v>149</v>
      </c>
      <c r="G163" s="230">
        <v>70</v>
      </c>
      <c r="H163" s="111">
        <v>70</v>
      </c>
      <c r="I163" s="88">
        <f>IF(H163=0,0,$G163/H163)</f>
        <v>1</v>
      </c>
      <c r="J163" s="75">
        <v>70</v>
      </c>
      <c r="K163" s="89">
        <f>IF(J163=0,0,$G163/J163)</f>
        <v>1</v>
      </c>
      <c r="L163" s="75">
        <v>45.607</v>
      </c>
      <c r="M163" s="89">
        <f>IF(L163=0,0,$G163/L163)</f>
        <v>1.534852106036354</v>
      </c>
    </row>
    <row r="164" spans="1:13" ht="12.75">
      <c r="A164" s="90"/>
      <c r="B164" s="91" t="s">
        <v>11</v>
      </c>
      <c r="C164" s="90" t="s">
        <v>148</v>
      </c>
      <c r="D164" s="90"/>
      <c r="E164" s="90"/>
      <c r="F164" s="92"/>
      <c r="G164" s="231">
        <f>SUM(G163)</f>
        <v>70</v>
      </c>
      <c r="H164" s="93">
        <f>SUM(H163)</f>
        <v>70</v>
      </c>
      <c r="I164" s="94">
        <f>IF(H164=0,0,$G164/H164)</f>
        <v>1</v>
      </c>
      <c r="J164" s="93">
        <f>SUM(J163)</f>
        <v>70</v>
      </c>
      <c r="K164" s="94">
        <f>IF(J164=0,0,$G164/J164)</f>
        <v>1</v>
      </c>
      <c r="L164" s="93">
        <f>SUM(L163)</f>
        <v>45.607</v>
      </c>
      <c r="M164" s="94">
        <f>IF(L164=0,0,$G164/L164)</f>
        <v>1.534852106036354</v>
      </c>
    </row>
    <row r="165" spans="9:13" ht="12.75">
      <c r="I165" s="88"/>
      <c r="K165" s="89"/>
      <c r="M165" s="89"/>
    </row>
    <row r="166" spans="1:13" ht="12.75">
      <c r="A166" s="85" t="s">
        <v>138</v>
      </c>
      <c r="B166" s="86" t="s">
        <v>150</v>
      </c>
      <c r="C166" s="85" t="s">
        <v>151</v>
      </c>
      <c r="D166" s="85" t="s">
        <v>19</v>
      </c>
      <c r="E166" s="85" t="s">
        <v>10</v>
      </c>
      <c r="F166" s="87" t="s">
        <v>65</v>
      </c>
      <c r="G166" s="230">
        <v>120</v>
      </c>
      <c r="H166" s="111">
        <v>180</v>
      </c>
      <c r="I166" s="88">
        <f>IF(H166=0,0,$G166/H166)</f>
        <v>0.6666666666666666</v>
      </c>
      <c r="J166" s="75">
        <v>180</v>
      </c>
      <c r="K166" s="89">
        <f>IF(J166=0,0,$G166/J166)</f>
        <v>0.6666666666666666</v>
      </c>
      <c r="L166" s="75">
        <v>84.419</v>
      </c>
      <c r="M166" s="89">
        <f>IF(L166=0,0,$G166/L166)</f>
        <v>1.4214809462324833</v>
      </c>
    </row>
    <row r="167" spans="1:13" ht="13.5" thickBot="1">
      <c r="A167" s="85" t="s">
        <v>138</v>
      </c>
      <c r="B167" s="86" t="s">
        <v>150</v>
      </c>
      <c r="C167" s="85" t="s">
        <v>151</v>
      </c>
      <c r="D167" s="85" t="s">
        <v>101</v>
      </c>
      <c r="E167" s="85" t="s">
        <v>10</v>
      </c>
      <c r="F167" s="87" t="s">
        <v>810</v>
      </c>
      <c r="G167" s="230">
        <v>0</v>
      </c>
      <c r="H167" s="111">
        <v>4</v>
      </c>
      <c r="I167" s="88">
        <f>IF(H167=0,0,$G167/H167)</f>
        <v>0</v>
      </c>
      <c r="J167" s="75">
        <v>4</v>
      </c>
      <c r="K167" s="89">
        <f>IF(J167=0,0,$G167/J167)</f>
        <v>0</v>
      </c>
      <c r="L167" s="75">
        <v>3.84</v>
      </c>
      <c r="M167" s="89">
        <f>IF(L167=0,0,$G167/L167)</f>
        <v>0</v>
      </c>
    </row>
    <row r="168" spans="1:13" ht="12.75">
      <c r="A168" s="90"/>
      <c r="B168" s="91" t="s">
        <v>11</v>
      </c>
      <c r="C168" s="90" t="s">
        <v>151</v>
      </c>
      <c r="D168" s="90"/>
      <c r="E168" s="90"/>
      <c r="F168" s="92"/>
      <c r="G168" s="231">
        <f>SUM(G166:G167)</f>
        <v>120</v>
      </c>
      <c r="H168" s="93">
        <f>SUM(H166:H167)</f>
        <v>184</v>
      </c>
      <c r="I168" s="94">
        <f>IF(H168=0,0,$G168/H168)</f>
        <v>0.6521739130434783</v>
      </c>
      <c r="J168" s="93">
        <f>SUM(J166:J167)</f>
        <v>184</v>
      </c>
      <c r="K168" s="94">
        <f>IF(J168=0,0,$G168/J168)</f>
        <v>0.6521739130434783</v>
      </c>
      <c r="L168" s="93">
        <f>SUM(L166:L167)</f>
        <v>88.259</v>
      </c>
      <c r="M168" s="94">
        <f>IF(L168=0,0,$G168/L168)</f>
        <v>1.359634711474184</v>
      </c>
    </row>
    <row r="169" spans="9:13" ht="12.75">
      <c r="I169" s="88"/>
      <c r="K169" s="89"/>
      <c r="M169" s="89"/>
    </row>
    <row r="170" spans="1:13" ht="13.5" thickBot="1">
      <c r="A170" s="85" t="s">
        <v>138</v>
      </c>
      <c r="B170" s="86" t="s">
        <v>152</v>
      </c>
      <c r="C170" s="85" t="s">
        <v>153</v>
      </c>
      <c r="D170" s="85" t="s">
        <v>22</v>
      </c>
      <c r="E170" s="85" t="s">
        <v>10</v>
      </c>
      <c r="F170" s="87" t="s">
        <v>154</v>
      </c>
      <c r="G170" s="230">
        <v>1220</v>
      </c>
      <c r="H170" s="111">
        <v>1200</v>
      </c>
      <c r="I170" s="88">
        <f>IF(H170=0,0,$G170/H170)</f>
        <v>1.0166666666666666</v>
      </c>
      <c r="J170" s="75">
        <v>1200</v>
      </c>
      <c r="K170" s="89">
        <f>IF(J170=0,0,$G170/J170)</f>
        <v>1.0166666666666666</v>
      </c>
      <c r="L170" s="75">
        <v>988.363</v>
      </c>
      <c r="M170" s="89">
        <f>IF(L170=0,0,$G170/L170)</f>
        <v>1.234364297328006</v>
      </c>
    </row>
    <row r="171" spans="1:13" ht="12.75">
      <c r="A171" s="90"/>
      <c r="B171" s="91" t="s">
        <v>11</v>
      </c>
      <c r="C171" s="90" t="s">
        <v>153</v>
      </c>
      <c r="D171" s="90"/>
      <c r="E171" s="90"/>
      <c r="F171" s="92"/>
      <c r="G171" s="231">
        <f>SUM(G170)</f>
        <v>1220</v>
      </c>
      <c r="H171" s="93">
        <f>SUM(H170)</f>
        <v>1200</v>
      </c>
      <c r="I171" s="94">
        <f>IF(H171=0,0,$G171/H171)</f>
        <v>1.0166666666666666</v>
      </c>
      <c r="J171" s="93">
        <f>SUM(J170)</f>
        <v>1200</v>
      </c>
      <c r="K171" s="94">
        <f>IF(J171=0,0,$G171/J171)</f>
        <v>1.0166666666666666</v>
      </c>
      <c r="L171" s="93">
        <f>SUM(L170)</f>
        <v>988.363</v>
      </c>
      <c r="M171" s="94">
        <f>IF(L171=0,0,$G171/L171)</f>
        <v>1.234364297328006</v>
      </c>
    </row>
    <row r="172" spans="9:13" ht="12.75">
      <c r="I172" s="88"/>
      <c r="K172" s="89"/>
      <c r="M172" s="89"/>
    </row>
    <row r="173" spans="1:13" ht="12.75">
      <c r="A173" s="81"/>
      <c r="B173" s="95" t="s">
        <v>155</v>
      </c>
      <c r="C173" s="81"/>
      <c r="D173" s="81"/>
      <c r="E173" s="81"/>
      <c r="F173" s="96"/>
      <c r="G173" s="232">
        <f>SUM(G158,G161,G164,G168,G171)</f>
        <v>1683</v>
      </c>
      <c r="H173" s="103">
        <f>SUM(H158,H161,H164,H168,H171)</f>
        <v>1529</v>
      </c>
      <c r="I173" s="98">
        <f>IF(H173=0,0,$G173/H173)</f>
        <v>1.1007194244604317</v>
      </c>
      <c r="J173" s="97">
        <f>SUM(J158,J161,J164,J168,J171)</f>
        <v>1529</v>
      </c>
      <c r="K173" s="99">
        <f>IF(J173=0,0,$G173/J173)</f>
        <v>1.1007194244604317</v>
      </c>
      <c r="L173" s="97">
        <f>SUM(L158,L161,L164,L168,L171)</f>
        <v>1188.059</v>
      </c>
      <c r="M173" s="99">
        <f>IF(L173=0,0,$G173/L173)</f>
        <v>1.4165963138194315</v>
      </c>
    </row>
    <row r="174" spans="9:13" ht="12.75">
      <c r="I174" s="88"/>
      <c r="K174" s="89"/>
      <c r="M174" s="89"/>
    </row>
    <row r="175" spans="9:13" ht="12.75">
      <c r="I175" s="88"/>
      <c r="K175" s="89"/>
      <c r="M175" s="89"/>
    </row>
    <row r="176" spans="1:13" ht="12.75">
      <c r="A176" s="85" t="s">
        <v>156</v>
      </c>
      <c r="B176" s="86" t="s">
        <v>157</v>
      </c>
      <c r="C176" s="85" t="s">
        <v>158</v>
      </c>
      <c r="D176" s="85" t="s">
        <v>19</v>
      </c>
      <c r="E176" s="85" t="s">
        <v>10</v>
      </c>
      <c r="F176" s="87" t="s">
        <v>65</v>
      </c>
      <c r="G176" s="230">
        <v>360</v>
      </c>
      <c r="H176" s="111">
        <v>216</v>
      </c>
      <c r="I176" s="88">
        <f>IF(H176=0,0,$G176/H176)</f>
        <v>1.6666666666666667</v>
      </c>
      <c r="J176" s="75">
        <v>216</v>
      </c>
      <c r="K176" s="89">
        <f>IF(J176=0,0,$G176/J176)</f>
        <v>1.6666666666666667</v>
      </c>
      <c r="L176" s="75">
        <v>189.912</v>
      </c>
      <c r="M176" s="89">
        <f>IF(L176=0,0,$G176/L176)</f>
        <v>1.8956148110703905</v>
      </c>
    </row>
    <row r="177" spans="1:13" ht="13.5" thickBot="1">
      <c r="A177" s="85" t="s">
        <v>156</v>
      </c>
      <c r="B177" s="86" t="s">
        <v>157</v>
      </c>
      <c r="C177" s="85" t="s">
        <v>158</v>
      </c>
      <c r="D177" s="85" t="s">
        <v>101</v>
      </c>
      <c r="E177" s="85" t="s">
        <v>10</v>
      </c>
      <c r="F177" s="87" t="s">
        <v>159</v>
      </c>
      <c r="G177" s="230">
        <v>500</v>
      </c>
      <c r="H177" s="111">
        <v>550</v>
      </c>
      <c r="I177" s="88">
        <f>IF(H177=0,0,$G177/H177)</f>
        <v>0.9090909090909091</v>
      </c>
      <c r="J177" s="75">
        <v>550</v>
      </c>
      <c r="K177" s="89">
        <f>IF(J177=0,0,$G177/J177)</f>
        <v>0.9090909090909091</v>
      </c>
      <c r="L177" s="75">
        <v>271.2</v>
      </c>
      <c r="M177" s="89">
        <f>IF(L177=0,0,$G177/L177)</f>
        <v>1.8436578171091447</v>
      </c>
    </row>
    <row r="178" spans="1:13" ht="12.75">
      <c r="A178" s="90"/>
      <c r="B178" s="91" t="s">
        <v>11</v>
      </c>
      <c r="C178" s="90" t="s">
        <v>158</v>
      </c>
      <c r="D178" s="90"/>
      <c r="E178" s="90"/>
      <c r="F178" s="92"/>
      <c r="G178" s="231">
        <f>SUM(G176:G177)</f>
        <v>860</v>
      </c>
      <c r="H178" s="93">
        <f>SUM(H176:H177)</f>
        <v>766</v>
      </c>
      <c r="I178" s="94">
        <f>IF(H178=0,0,$G178/H178)</f>
        <v>1.122715404699739</v>
      </c>
      <c r="J178" s="93">
        <f>SUM(J176:J177)</f>
        <v>766</v>
      </c>
      <c r="K178" s="94">
        <f>IF(J178=0,0,$G178/J178)</f>
        <v>1.122715404699739</v>
      </c>
      <c r="L178" s="93">
        <f>SUM(L176:L177)</f>
        <v>461.11199999999997</v>
      </c>
      <c r="M178" s="94">
        <f>IF(L178=0,0,$G178/L178)</f>
        <v>1.8650566456739361</v>
      </c>
    </row>
    <row r="179" spans="9:13" ht="12.75">
      <c r="I179" s="88"/>
      <c r="K179" s="89"/>
      <c r="M179" s="89"/>
    </row>
    <row r="180" spans="1:13" ht="12.75">
      <c r="A180" s="85" t="s">
        <v>156</v>
      </c>
      <c r="B180" s="86" t="s">
        <v>160</v>
      </c>
      <c r="C180" s="85" t="s">
        <v>161</v>
      </c>
      <c r="D180" s="85" t="s">
        <v>19</v>
      </c>
      <c r="E180" s="85" t="s">
        <v>10</v>
      </c>
      <c r="F180" s="87" t="s">
        <v>65</v>
      </c>
      <c r="G180" s="230">
        <v>900</v>
      </c>
      <c r="H180" s="111">
        <v>800</v>
      </c>
      <c r="I180" s="88">
        <f>IF(H180=0,0,$G180/H180)</f>
        <v>1.125</v>
      </c>
      <c r="J180" s="75">
        <v>800</v>
      </c>
      <c r="K180" s="89">
        <f>IF(J180=0,0,$G180/J180)</f>
        <v>1.125</v>
      </c>
      <c r="L180" s="75">
        <v>676.863</v>
      </c>
      <c r="M180" s="89">
        <f>IF(L180=0,0,$G180/L180)</f>
        <v>1.3296634621777228</v>
      </c>
    </row>
    <row r="181" spans="1:13" ht="12.75">
      <c r="A181" s="85" t="s">
        <v>156</v>
      </c>
      <c r="B181" s="86" t="s">
        <v>160</v>
      </c>
      <c r="C181" s="85" t="s">
        <v>161</v>
      </c>
      <c r="D181" s="85" t="s">
        <v>124</v>
      </c>
      <c r="E181" s="85" t="s">
        <v>10</v>
      </c>
      <c r="F181" s="87" t="s">
        <v>162</v>
      </c>
      <c r="G181" s="230">
        <v>1000</v>
      </c>
      <c r="H181" s="111">
        <v>800</v>
      </c>
      <c r="I181" s="88">
        <f>IF(H181=0,0,$G181/H181)</f>
        <v>1.25</v>
      </c>
      <c r="J181" s="75">
        <v>800</v>
      </c>
      <c r="K181" s="89">
        <f>IF(J181=0,0,$G181/J181)</f>
        <v>1.25</v>
      </c>
      <c r="L181" s="75">
        <v>715.037</v>
      </c>
      <c r="M181" s="89">
        <f>IF(L181=0,0,$G181/L181)</f>
        <v>1.3985290271692234</v>
      </c>
    </row>
    <row r="182" spans="1:13" ht="13.5" thickBot="1">
      <c r="A182" s="85" t="s">
        <v>156</v>
      </c>
      <c r="B182" s="86" t="s">
        <v>160</v>
      </c>
      <c r="C182" s="85" t="s">
        <v>161</v>
      </c>
      <c r="D182" s="85" t="s">
        <v>22</v>
      </c>
      <c r="E182" s="85" t="s">
        <v>10</v>
      </c>
      <c r="F182" s="87" t="s">
        <v>163</v>
      </c>
      <c r="G182" s="230">
        <v>20</v>
      </c>
      <c r="H182" s="111">
        <v>30</v>
      </c>
      <c r="I182" s="88">
        <f>IF(H182=0,0,$G182/H182)</f>
        <v>0.6666666666666666</v>
      </c>
      <c r="J182" s="75">
        <v>30</v>
      </c>
      <c r="K182" s="89">
        <f>IF(J182=0,0,$G182/J182)</f>
        <v>0.6666666666666666</v>
      </c>
      <c r="L182" s="75">
        <v>0</v>
      </c>
      <c r="M182" s="89">
        <f>IF(L182=0,0,$G182/L182)</f>
        <v>0</v>
      </c>
    </row>
    <row r="183" spans="1:13" ht="12.75">
      <c r="A183" s="90"/>
      <c r="B183" s="91" t="s">
        <v>11</v>
      </c>
      <c r="C183" s="90" t="s">
        <v>161</v>
      </c>
      <c r="D183" s="90"/>
      <c r="E183" s="90"/>
      <c r="F183" s="92"/>
      <c r="G183" s="231">
        <f>SUM(G180:G182)</f>
        <v>1920</v>
      </c>
      <c r="H183" s="93">
        <f>SUM(H180:H182)</f>
        <v>1630</v>
      </c>
      <c r="I183" s="94">
        <f>IF(H183=0,0,$G183/H183)</f>
        <v>1.177914110429448</v>
      </c>
      <c r="J183" s="93">
        <f>SUM(J180:J182)</f>
        <v>1630</v>
      </c>
      <c r="K183" s="94">
        <f>IF(J183=0,0,$G183/J183)</f>
        <v>1.177914110429448</v>
      </c>
      <c r="L183" s="93">
        <f>SUM(L180:L182)</f>
        <v>1391.9</v>
      </c>
      <c r="M183" s="94">
        <f>IF(L183=0,0,$G183/L183)</f>
        <v>1.3794094403333572</v>
      </c>
    </row>
    <row r="184" spans="9:13" ht="12.75">
      <c r="I184" s="88"/>
      <c r="K184" s="89"/>
      <c r="M184" s="89"/>
    </row>
    <row r="185" spans="1:13" ht="12.75">
      <c r="A185" s="81"/>
      <c r="B185" s="95" t="s">
        <v>164</v>
      </c>
      <c r="C185" s="81"/>
      <c r="D185" s="81"/>
      <c r="E185" s="81"/>
      <c r="F185" s="96"/>
      <c r="G185" s="232">
        <f>SUM(G178,G183)</f>
        <v>2780</v>
      </c>
      <c r="H185" s="103">
        <f>SUM(H178,H183)</f>
        <v>2396</v>
      </c>
      <c r="I185" s="98">
        <f>IF(H185=0,0,$G185/H185)</f>
        <v>1.1602671118530885</v>
      </c>
      <c r="J185" s="97">
        <f>SUM(J178,J183)</f>
        <v>2396</v>
      </c>
      <c r="K185" s="99">
        <f>IF(J185=0,0,$G185/J185)</f>
        <v>1.1602671118530885</v>
      </c>
      <c r="L185" s="97">
        <f>SUM(L178,L183)</f>
        <v>1853.0120000000002</v>
      </c>
      <c r="M185" s="99">
        <f>IF(L185=0,0,$G185/L185)</f>
        <v>1.5002601170418755</v>
      </c>
    </row>
    <row r="186" spans="9:13" ht="12.75">
      <c r="I186" s="88"/>
      <c r="K186" s="89"/>
      <c r="M186" s="89"/>
    </row>
    <row r="187" spans="9:13" ht="12.75">
      <c r="I187" s="88"/>
      <c r="K187" s="89"/>
      <c r="M187" s="89"/>
    </row>
    <row r="188" spans="1:13" ht="13.5" thickBot="1">
      <c r="A188" s="85" t="s">
        <v>165</v>
      </c>
      <c r="B188" s="86" t="s">
        <v>166</v>
      </c>
      <c r="C188" s="85" t="s">
        <v>8</v>
      </c>
      <c r="D188" s="85" t="s">
        <v>27</v>
      </c>
      <c r="E188" s="85" t="s">
        <v>10</v>
      </c>
      <c r="F188" s="87" t="s">
        <v>43</v>
      </c>
      <c r="G188" s="230">
        <v>1000</v>
      </c>
      <c r="H188" s="111">
        <v>358</v>
      </c>
      <c r="I188" s="88">
        <f>IF(H188=0,0,$G188/H188)</f>
        <v>2.793296089385475</v>
      </c>
      <c r="J188" s="75">
        <v>358</v>
      </c>
      <c r="K188" s="89">
        <f>IF(J188=0,0,$G188/J188)</f>
        <v>2.793296089385475</v>
      </c>
      <c r="L188" s="75">
        <f>174.355+141.315</f>
        <v>315.66999999999996</v>
      </c>
      <c r="M188" s="89">
        <f>IF(L188=0,0,$G188/L188)</f>
        <v>3.1678651756581244</v>
      </c>
    </row>
    <row r="189" spans="1:13" ht="12.75">
      <c r="A189" s="90"/>
      <c r="B189" s="91" t="s">
        <v>11</v>
      </c>
      <c r="C189" s="90" t="s">
        <v>8</v>
      </c>
      <c r="D189" s="90"/>
      <c r="E189" s="90"/>
      <c r="F189" s="92"/>
      <c r="G189" s="231">
        <f>SUM(G188)</f>
        <v>1000</v>
      </c>
      <c r="H189" s="93">
        <f>SUM(H188)</f>
        <v>358</v>
      </c>
      <c r="I189" s="94">
        <f>IF(H189=0,0,$G189/H189)</f>
        <v>2.793296089385475</v>
      </c>
      <c r="J189" s="93">
        <f>SUM(J188)</f>
        <v>358</v>
      </c>
      <c r="K189" s="94">
        <f>IF(J189=0,0,$G189/J189)</f>
        <v>2.793296089385475</v>
      </c>
      <c r="L189" s="93">
        <f>SUM(L188)</f>
        <v>315.66999999999996</v>
      </c>
      <c r="M189" s="94">
        <f>IF(L189=0,0,$G189/L189)</f>
        <v>3.1678651756581244</v>
      </c>
    </row>
    <row r="190" spans="9:13" ht="12.75">
      <c r="I190" s="88"/>
      <c r="K190" s="89"/>
      <c r="M190" s="89"/>
    </row>
    <row r="191" spans="1:13" ht="13.5" thickBot="1">
      <c r="A191" s="85" t="s">
        <v>165</v>
      </c>
      <c r="B191" s="86" t="s">
        <v>166</v>
      </c>
      <c r="C191" s="85" t="s">
        <v>44</v>
      </c>
      <c r="D191" s="85" t="s">
        <v>16</v>
      </c>
      <c r="E191" s="85" t="s">
        <v>10</v>
      </c>
      <c r="F191" s="87" t="s">
        <v>167</v>
      </c>
      <c r="G191" s="230">
        <v>150</v>
      </c>
      <c r="H191" s="111">
        <v>150</v>
      </c>
      <c r="I191" s="88">
        <f>IF(H191=0,0,$G191/H191)</f>
        <v>1</v>
      </c>
      <c r="J191" s="75">
        <v>150</v>
      </c>
      <c r="K191" s="89">
        <f>IF(J191=0,0,$G191/J191)</f>
        <v>1</v>
      </c>
      <c r="L191" s="75">
        <f>116.3+7</f>
        <v>123.3</v>
      </c>
      <c r="M191" s="89">
        <f>IF(L191=0,0,$G191/L191)</f>
        <v>1.2165450121654502</v>
      </c>
    </row>
    <row r="192" spans="1:13" ht="12.75">
      <c r="A192" s="90"/>
      <c r="B192" s="91" t="s">
        <v>11</v>
      </c>
      <c r="C192" s="90" t="s">
        <v>44</v>
      </c>
      <c r="D192" s="90"/>
      <c r="E192" s="90"/>
      <c r="F192" s="92"/>
      <c r="G192" s="231">
        <f>SUM(G191)</f>
        <v>150</v>
      </c>
      <c r="H192" s="93">
        <f>SUM(H191)</f>
        <v>150</v>
      </c>
      <c r="I192" s="94">
        <f>IF(H192=0,0,$G192/H192)</f>
        <v>1</v>
      </c>
      <c r="J192" s="93">
        <f>SUM(J191)</f>
        <v>150</v>
      </c>
      <c r="K192" s="94">
        <f>IF(J192=0,0,$G192/J192)</f>
        <v>1</v>
      </c>
      <c r="L192" s="93">
        <f>SUM(L191)</f>
        <v>123.3</v>
      </c>
      <c r="M192" s="94">
        <f>IF(L192=0,0,$G192/L192)</f>
        <v>1.2165450121654502</v>
      </c>
    </row>
    <row r="193" spans="9:13" ht="12.75">
      <c r="I193" s="88"/>
      <c r="K193" s="89"/>
      <c r="M193" s="89"/>
    </row>
    <row r="194" spans="1:13" ht="12.75">
      <c r="A194" s="81"/>
      <c r="B194" s="95" t="s">
        <v>168</v>
      </c>
      <c r="C194" s="81"/>
      <c r="D194" s="81"/>
      <c r="E194" s="81"/>
      <c r="F194" s="96"/>
      <c r="G194" s="232">
        <f>SUM(G189,G192)</f>
        <v>1150</v>
      </c>
      <c r="H194" s="103">
        <f>SUM(H189,H192)</f>
        <v>508</v>
      </c>
      <c r="I194" s="98">
        <f>IF(H194=0,0,$G194/H194)</f>
        <v>2.263779527559055</v>
      </c>
      <c r="J194" s="97">
        <f>SUM(J189,J192)</f>
        <v>508</v>
      </c>
      <c r="K194" s="99">
        <f>IF(J194=0,0,$G194/J194)</f>
        <v>2.263779527559055</v>
      </c>
      <c r="L194" s="97">
        <f>SUM(L189,L192)</f>
        <v>438.96999999999997</v>
      </c>
      <c r="M194" s="99">
        <f>IF(L194=0,0,$G194/L194)</f>
        <v>2.6197690047155846</v>
      </c>
    </row>
    <row r="195" spans="9:13" ht="12.75">
      <c r="I195" s="88"/>
      <c r="K195" s="89"/>
      <c r="M195" s="89"/>
    </row>
    <row r="196" spans="9:13" ht="12.75">
      <c r="I196" s="88"/>
      <c r="K196" s="89"/>
      <c r="M196" s="89"/>
    </row>
    <row r="197" spans="1:13" ht="12.75">
      <c r="A197" s="85" t="s">
        <v>169</v>
      </c>
      <c r="B197" s="86" t="s">
        <v>170</v>
      </c>
      <c r="C197" s="85" t="s">
        <v>171</v>
      </c>
      <c r="D197" s="85" t="s">
        <v>19</v>
      </c>
      <c r="E197" s="85" t="s">
        <v>10</v>
      </c>
      <c r="F197" s="87" t="s">
        <v>172</v>
      </c>
      <c r="G197" s="230">
        <v>11098</v>
      </c>
      <c r="H197" s="111">
        <v>10998</v>
      </c>
      <c r="I197" s="88">
        <f>IF(H197=0,0,$G197/H197)</f>
        <v>1.0090925622840516</v>
      </c>
      <c r="J197" s="75">
        <v>10998</v>
      </c>
      <c r="K197" s="89">
        <f>IF(J197=0,0,$G197/J197)</f>
        <v>1.0090925622840516</v>
      </c>
      <c r="L197" s="75">
        <v>9322.166</v>
      </c>
      <c r="M197" s="89">
        <f>IF(L197=0,0,$G197/L197)</f>
        <v>1.1904958568641666</v>
      </c>
    </row>
    <row r="198" spans="1:13" ht="13.5" thickBot="1">
      <c r="A198" s="85" t="s">
        <v>169</v>
      </c>
      <c r="B198" s="86" t="s">
        <v>170</v>
      </c>
      <c r="C198" s="85" t="s">
        <v>171</v>
      </c>
      <c r="D198" s="85" t="s">
        <v>16</v>
      </c>
      <c r="E198" s="85" t="s">
        <v>10</v>
      </c>
      <c r="F198" s="87" t="s">
        <v>167</v>
      </c>
      <c r="G198" s="230">
        <v>1500</v>
      </c>
      <c r="H198" s="111">
        <v>2400</v>
      </c>
      <c r="I198" s="88">
        <f>IF(H198=0,0,$G198/H198)</f>
        <v>0.625</v>
      </c>
      <c r="J198" s="75">
        <v>2400</v>
      </c>
      <c r="K198" s="89">
        <f>IF(J198=0,0,$G198/J198)</f>
        <v>0.625</v>
      </c>
      <c r="L198" s="75">
        <v>1175.901</v>
      </c>
      <c r="M198" s="89">
        <f>IF(L198=0,0,$G198/L198)</f>
        <v>1.2756175902563225</v>
      </c>
    </row>
    <row r="199" spans="1:13" ht="12.75">
      <c r="A199" s="90"/>
      <c r="B199" s="91" t="s">
        <v>11</v>
      </c>
      <c r="C199" s="90"/>
      <c r="D199" s="90" t="s">
        <v>171</v>
      </c>
      <c r="E199" s="90"/>
      <c r="F199" s="92"/>
      <c r="G199" s="231">
        <f>SUM(G197:G198)</f>
        <v>12598</v>
      </c>
      <c r="H199" s="93">
        <f>SUM(H197:H198)</f>
        <v>13398</v>
      </c>
      <c r="I199" s="94">
        <f>IF(H199=0,0,$G199/H199)</f>
        <v>0.9402895954620093</v>
      </c>
      <c r="J199" s="93">
        <f>SUM(J197:J198)</f>
        <v>13398</v>
      </c>
      <c r="K199" s="94">
        <f>IF(J199=0,0,$G199/J199)</f>
        <v>0.9402895954620093</v>
      </c>
      <c r="L199" s="93">
        <f>SUM(L197:L198)</f>
        <v>10498.067</v>
      </c>
      <c r="M199" s="94">
        <f>IF(L199=0,0,$G199/L199)</f>
        <v>1.2000304436997784</v>
      </c>
    </row>
    <row r="200" spans="9:13" ht="12.75">
      <c r="I200" s="88"/>
      <c r="K200" s="89"/>
      <c r="M200" s="89"/>
    </row>
    <row r="201" spans="1:13" ht="12.75">
      <c r="A201" s="81"/>
      <c r="B201" s="95" t="s">
        <v>173</v>
      </c>
      <c r="C201" s="81"/>
      <c r="D201" s="81"/>
      <c r="E201" s="81"/>
      <c r="F201" s="96"/>
      <c r="G201" s="232">
        <f>SUM(G199)</f>
        <v>12598</v>
      </c>
      <c r="H201" s="227">
        <f>SUM(H199)</f>
        <v>13398</v>
      </c>
      <c r="I201" s="104">
        <f>IF(H201=0,0,$G201/H201)</f>
        <v>0.9402895954620093</v>
      </c>
      <c r="J201" s="105">
        <f>SUM(J199)</f>
        <v>13398</v>
      </c>
      <c r="K201" s="106">
        <f>IF(J201=0,0,$G201/J201)</f>
        <v>0.9402895954620093</v>
      </c>
      <c r="L201" s="105">
        <f>SUM(L199)</f>
        <v>10498.067</v>
      </c>
      <c r="M201" s="106">
        <f>IF(L201=0,0,$G201/L201)</f>
        <v>1.2000304436997784</v>
      </c>
    </row>
    <row r="202" spans="8:13" ht="12.75">
      <c r="H202" s="227"/>
      <c r="I202" s="104"/>
      <c r="J202" s="105"/>
      <c r="K202" s="106"/>
      <c r="L202" s="105"/>
      <c r="M202" s="106"/>
    </row>
    <row r="203" spans="1:13" ht="12.75">
      <c r="A203" s="81"/>
      <c r="B203" s="95" t="s">
        <v>174</v>
      </c>
      <c r="C203" s="81"/>
      <c r="D203" s="81"/>
      <c r="E203" s="81"/>
      <c r="F203" s="96"/>
      <c r="G203" s="232">
        <f>SUM(G9,G20,G29,G35,G41,G51,G60,G69,G84,G118,G127,G152,G173,G185,G194,G201)</f>
        <v>197520.7</v>
      </c>
      <c r="H203" s="103">
        <f>SUM(H9,H20,H29,H35,H41,H51,H60,H69,H84,H118,H127,H152,H173,H185,H194,H201)</f>
        <v>201340.467</v>
      </c>
      <c r="I203" s="99">
        <f>IF(H203=0,0,$G203/H203)</f>
        <v>0.9810283195578363</v>
      </c>
      <c r="J203" s="97">
        <f>SUM(J9,J20,J29,J35,J41,J51,J60,J69,J84,J118,J127,J152,J173,J185,J194,J201)</f>
        <v>202108.55800000002</v>
      </c>
      <c r="K203" s="99">
        <f>IF(J203=0,0,$G203/J203)</f>
        <v>0.9773000310061091</v>
      </c>
      <c r="L203" s="97">
        <f>SUM(L9,L20,L29,L35,L41,L51,L60,L69,L84,L118,L127,L152,L173,L185,L194,L201)</f>
        <v>175277.84299999996</v>
      </c>
      <c r="M203" s="99">
        <f>IF(L203=0,0,$G203/L203)</f>
        <v>1.1269005632389033</v>
      </c>
    </row>
  </sheetData>
  <sheetProtection/>
  <mergeCells count="1">
    <mergeCell ref="A2:G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790"/>
  <sheetViews>
    <sheetView tabSelected="1" zoomScalePageLayoutView="0" workbookViewId="0" topLeftCell="A1">
      <pane ySplit="4" topLeftCell="A718" activePane="bottomLeft" state="frozen"/>
      <selection pane="topLeft" activeCell="A1" sqref="A1"/>
      <selection pane="bottomLeft" activeCell="D644" sqref="D644"/>
    </sheetView>
  </sheetViews>
  <sheetFormatPr defaultColWidth="9.00390625" defaultRowHeight="12.75" customHeight="1"/>
  <cols>
    <col min="1" max="1" width="4.375" style="77" bestFit="1" customWidth="1"/>
    <col min="2" max="2" width="35.25390625" style="77" bestFit="1" customWidth="1"/>
    <col min="3" max="3" width="6.125" style="78" bestFit="1" customWidth="1"/>
    <col min="4" max="4" width="6.125" style="78" customWidth="1"/>
    <col min="5" max="5" width="12.125" style="78" bestFit="1" customWidth="1"/>
    <col min="6" max="6" width="37.75390625" style="77" bestFit="1" customWidth="1"/>
    <col min="7" max="7" width="16.875" style="228" bestFit="1" customWidth="1"/>
    <col min="8" max="8" width="9.875" style="111" customWidth="1"/>
    <col min="9" max="9" width="6.75390625" style="74" customWidth="1"/>
    <col min="10" max="10" width="10.125" style="75" customWidth="1"/>
    <col min="11" max="11" width="6.75390625" style="76" customWidth="1"/>
    <col min="12" max="12" width="10.125" style="75" customWidth="1"/>
    <col min="13" max="13" width="6.75390625" style="76" customWidth="1"/>
    <col min="14" max="16384" width="9.125" style="77" customWidth="1"/>
  </cols>
  <sheetData>
    <row r="2" spans="1:7" ht="12.75" customHeight="1">
      <c r="A2" s="238" t="s">
        <v>855</v>
      </c>
      <c r="B2" s="238"/>
      <c r="C2" s="238"/>
      <c r="D2" s="238"/>
      <c r="E2" s="238"/>
      <c r="F2" s="238"/>
      <c r="G2" s="238"/>
    </row>
    <row r="3" ht="12.75" customHeight="1">
      <c r="H3" s="111" t="s">
        <v>596</v>
      </c>
    </row>
    <row r="4" spans="1:13" ht="29.25" customHeight="1">
      <c r="A4" s="107" t="s">
        <v>0</v>
      </c>
      <c r="B4" s="82" t="s">
        <v>1</v>
      </c>
      <c r="C4" s="81" t="s">
        <v>2</v>
      </c>
      <c r="D4" s="81" t="s">
        <v>3</v>
      </c>
      <c r="E4" s="81" t="s">
        <v>4</v>
      </c>
      <c r="F4" s="83" t="s">
        <v>5</v>
      </c>
      <c r="G4" s="229" t="s">
        <v>859</v>
      </c>
      <c r="H4" s="225" t="s">
        <v>597</v>
      </c>
      <c r="I4" s="84" t="s">
        <v>863</v>
      </c>
      <c r="J4" s="83" t="s">
        <v>598</v>
      </c>
      <c r="K4" s="84" t="s">
        <v>864</v>
      </c>
      <c r="L4" s="83" t="s">
        <v>599</v>
      </c>
      <c r="M4" s="84" t="s">
        <v>865</v>
      </c>
    </row>
    <row r="6" spans="1:13" ht="12.75" customHeight="1">
      <c r="A6" s="108" t="s">
        <v>6</v>
      </c>
      <c r="B6" s="86" t="s">
        <v>175</v>
      </c>
      <c r="C6" s="85" t="s">
        <v>18</v>
      </c>
      <c r="D6" s="85" t="s">
        <v>176</v>
      </c>
      <c r="E6" s="85" t="s">
        <v>177</v>
      </c>
      <c r="F6" s="87" t="s">
        <v>178</v>
      </c>
      <c r="G6" s="230">
        <v>200</v>
      </c>
      <c r="H6" s="111">
        <v>0</v>
      </c>
      <c r="I6" s="88">
        <f aca="true" t="shared" si="0" ref="I6:I22">IF(H6=0,0,$G6/H6)</f>
        <v>0</v>
      </c>
      <c r="J6" s="75">
        <v>51.3</v>
      </c>
      <c r="K6" s="88">
        <f>IF(J6=0,0,$G6/J6)</f>
        <v>3.8986354775828462</v>
      </c>
      <c r="L6" s="75">
        <v>0</v>
      </c>
      <c r="M6" s="88">
        <f>IF(L6=0,0,$G6/L6)</f>
        <v>0</v>
      </c>
    </row>
    <row r="7" spans="1:13" ht="12.75" customHeight="1">
      <c r="A7" s="108" t="s">
        <v>6</v>
      </c>
      <c r="B7" s="86" t="s">
        <v>175</v>
      </c>
      <c r="C7" s="85" t="s">
        <v>18</v>
      </c>
      <c r="D7" s="85" t="s">
        <v>179</v>
      </c>
      <c r="E7" s="85" t="s">
        <v>177</v>
      </c>
      <c r="F7" s="87" t="s">
        <v>180</v>
      </c>
      <c r="G7" s="230">
        <v>90</v>
      </c>
      <c r="H7" s="111">
        <v>90</v>
      </c>
      <c r="I7" s="88">
        <f t="shared" si="0"/>
        <v>1</v>
      </c>
      <c r="J7" s="75">
        <v>90</v>
      </c>
      <c r="K7" s="89">
        <f aca="true" t="shared" si="1" ref="K7:K20">IF(J7=0,0,$G7/J7)</f>
        <v>1</v>
      </c>
      <c r="L7" s="75">
        <v>9.381</v>
      </c>
      <c r="M7" s="88">
        <f aca="true" t="shared" si="2" ref="M7:M20">IF(L7=0,0,$G7/L7)</f>
        <v>9.593859929645028</v>
      </c>
    </row>
    <row r="8" spans="1:13" ht="12.75" customHeight="1">
      <c r="A8" s="108" t="s">
        <v>6</v>
      </c>
      <c r="B8" s="86" t="s">
        <v>175</v>
      </c>
      <c r="C8" s="85" t="s">
        <v>18</v>
      </c>
      <c r="D8" s="85" t="s">
        <v>181</v>
      </c>
      <c r="E8" s="85" t="s">
        <v>177</v>
      </c>
      <c r="F8" s="87" t="s">
        <v>182</v>
      </c>
      <c r="G8" s="230">
        <v>500</v>
      </c>
      <c r="H8" s="111">
        <v>750</v>
      </c>
      <c r="I8" s="88">
        <f t="shared" si="0"/>
        <v>0.6666666666666666</v>
      </c>
      <c r="J8" s="75">
        <f>750-300</f>
        <v>450</v>
      </c>
      <c r="K8" s="89">
        <f t="shared" si="1"/>
        <v>1.1111111111111112</v>
      </c>
      <c r="L8" s="75">
        <v>252.079</v>
      </c>
      <c r="M8" s="88">
        <f t="shared" si="2"/>
        <v>1.9835051709979807</v>
      </c>
    </row>
    <row r="9" spans="1:13" ht="12.75" customHeight="1">
      <c r="A9" s="108" t="s">
        <v>6</v>
      </c>
      <c r="B9" s="86" t="s">
        <v>175</v>
      </c>
      <c r="C9" s="85" t="s">
        <v>18</v>
      </c>
      <c r="D9" s="85" t="s">
        <v>183</v>
      </c>
      <c r="E9" s="85" t="s">
        <v>177</v>
      </c>
      <c r="F9" s="87" t="s">
        <v>184</v>
      </c>
      <c r="G9" s="230">
        <v>500</v>
      </c>
      <c r="H9" s="111">
        <v>750</v>
      </c>
      <c r="I9" s="88">
        <f t="shared" si="0"/>
        <v>0.6666666666666666</v>
      </c>
      <c r="J9" s="75">
        <f>750-300</f>
        <v>450</v>
      </c>
      <c r="K9" s="89">
        <f t="shared" si="1"/>
        <v>1.1111111111111112</v>
      </c>
      <c r="L9" s="75">
        <f>353.809-66.499</f>
        <v>287.31000000000006</v>
      </c>
      <c r="M9" s="88">
        <f t="shared" si="2"/>
        <v>1.740280533221955</v>
      </c>
    </row>
    <row r="10" spans="1:13" ht="12.75" customHeight="1">
      <c r="A10" s="108" t="s">
        <v>6</v>
      </c>
      <c r="B10" s="86" t="s">
        <v>175</v>
      </c>
      <c r="C10" s="85" t="s">
        <v>18</v>
      </c>
      <c r="D10" s="85" t="s">
        <v>185</v>
      </c>
      <c r="E10" s="85" t="s">
        <v>177</v>
      </c>
      <c r="F10" s="87" t="s">
        <v>186</v>
      </c>
      <c r="G10" s="230">
        <v>1200</v>
      </c>
      <c r="H10" s="111">
        <v>1900</v>
      </c>
      <c r="I10" s="88">
        <f t="shared" si="0"/>
        <v>0.631578947368421</v>
      </c>
      <c r="J10" s="75">
        <f>1900-500</f>
        <v>1400</v>
      </c>
      <c r="K10" s="89">
        <f t="shared" si="1"/>
        <v>0.8571428571428571</v>
      </c>
      <c r="L10" s="75">
        <f>1076.375-0.541</f>
        <v>1075.834</v>
      </c>
      <c r="M10" s="88">
        <f t="shared" si="2"/>
        <v>1.1154137162424687</v>
      </c>
    </row>
    <row r="11" spans="1:13" ht="12.75" customHeight="1">
      <c r="A11" s="108" t="s">
        <v>6</v>
      </c>
      <c r="B11" s="86" t="s">
        <v>175</v>
      </c>
      <c r="C11" s="85" t="s">
        <v>18</v>
      </c>
      <c r="D11" s="85" t="s">
        <v>187</v>
      </c>
      <c r="E11" s="85" t="s">
        <v>177</v>
      </c>
      <c r="F11" s="87" t="s">
        <v>188</v>
      </c>
      <c r="G11" s="230">
        <v>700</v>
      </c>
      <c r="H11" s="111">
        <v>820</v>
      </c>
      <c r="I11" s="88">
        <f t="shared" si="0"/>
        <v>0.8536585365853658</v>
      </c>
      <c r="J11" s="75">
        <v>823.96</v>
      </c>
      <c r="K11" s="89">
        <f t="shared" si="1"/>
        <v>0.8495558036797902</v>
      </c>
      <c r="L11" s="75">
        <f>378.72+236</f>
        <v>614.72</v>
      </c>
      <c r="M11" s="88">
        <f t="shared" si="2"/>
        <v>1.1387298282144716</v>
      </c>
    </row>
    <row r="12" spans="1:13" ht="12.75" customHeight="1">
      <c r="A12" s="108" t="s">
        <v>6</v>
      </c>
      <c r="B12" s="86" t="s">
        <v>175</v>
      </c>
      <c r="C12" s="85" t="s">
        <v>18</v>
      </c>
      <c r="D12" s="85" t="s">
        <v>189</v>
      </c>
      <c r="E12" s="85" t="s">
        <v>177</v>
      </c>
      <c r="F12" s="87" t="s">
        <v>190</v>
      </c>
      <c r="G12" s="230">
        <v>30</v>
      </c>
      <c r="H12" s="111">
        <f>280-H93-H94-30</f>
        <v>250</v>
      </c>
      <c r="I12" s="88">
        <f t="shared" si="0"/>
        <v>0.12</v>
      </c>
      <c r="J12" s="75">
        <f>602.38-J93-J94</f>
        <v>169.99</v>
      </c>
      <c r="K12" s="89">
        <f t="shared" si="1"/>
        <v>0.17648096946879227</v>
      </c>
      <c r="L12" s="75">
        <f>506.4-L93-L94</f>
        <v>123.50499999999994</v>
      </c>
      <c r="M12" s="88">
        <f t="shared" si="2"/>
        <v>0.2429051455406665</v>
      </c>
    </row>
    <row r="13" spans="1:13" ht="12.75" customHeight="1">
      <c r="A13" s="108" t="s">
        <v>6</v>
      </c>
      <c r="B13" s="86" t="s">
        <v>175</v>
      </c>
      <c r="C13" s="85" t="s">
        <v>18</v>
      </c>
      <c r="D13" s="85" t="s">
        <v>191</v>
      </c>
      <c r="E13" s="85" t="s">
        <v>177</v>
      </c>
      <c r="F13" s="87" t="s">
        <v>192</v>
      </c>
      <c r="G13" s="230">
        <v>3200</v>
      </c>
      <c r="H13" s="111">
        <f>3142-H97-H98-22</f>
        <v>3120</v>
      </c>
      <c r="I13" s="88">
        <f t="shared" si="0"/>
        <v>1.0256410256410255</v>
      </c>
      <c r="J13" s="75">
        <f>3143.66-J97-J98</f>
        <v>3142</v>
      </c>
      <c r="K13" s="89">
        <f t="shared" si="1"/>
        <v>1.0184595798854232</v>
      </c>
      <c r="L13" s="75">
        <f>2580.781-L97-L98</f>
        <v>2554.7239999999997</v>
      </c>
      <c r="M13" s="88">
        <f t="shared" si="2"/>
        <v>1.2525814921690173</v>
      </c>
    </row>
    <row r="14" spans="1:13" ht="12.75" customHeight="1">
      <c r="A14" s="108" t="s">
        <v>6</v>
      </c>
      <c r="B14" s="86" t="s">
        <v>175</v>
      </c>
      <c r="C14" s="85" t="s">
        <v>18</v>
      </c>
      <c r="D14" s="85" t="s">
        <v>193</v>
      </c>
      <c r="E14" s="85" t="s">
        <v>177</v>
      </c>
      <c r="F14" s="87" t="s">
        <v>194</v>
      </c>
      <c r="G14" s="230">
        <v>60</v>
      </c>
      <c r="H14" s="111">
        <v>0</v>
      </c>
      <c r="I14" s="88">
        <f t="shared" si="0"/>
        <v>0</v>
      </c>
      <c r="J14" s="75">
        <v>60</v>
      </c>
      <c r="K14" s="89">
        <f t="shared" si="1"/>
        <v>1</v>
      </c>
      <c r="L14" s="75">
        <v>59.568</v>
      </c>
      <c r="M14" s="88">
        <f t="shared" si="2"/>
        <v>1.0072522159548751</v>
      </c>
    </row>
    <row r="15" spans="1:13" ht="12.75" customHeight="1">
      <c r="A15" s="108" t="s">
        <v>6</v>
      </c>
      <c r="B15" s="86" t="s">
        <v>175</v>
      </c>
      <c r="C15" s="85" t="s">
        <v>18</v>
      </c>
      <c r="D15" s="85" t="s">
        <v>195</v>
      </c>
      <c r="E15" s="85" t="s">
        <v>177</v>
      </c>
      <c r="F15" s="87" t="s">
        <v>258</v>
      </c>
      <c r="G15" s="230">
        <v>0</v>
      </c>
      <c r="H15" s="111">
        <v>20</v>
      </c>
      <c r="I15" s="88">
        <f t="shared" si="0"/>
        <v>0</v>
      </c>
      <c r="J15" s="75">
        <f>50-30</f>
        <v>20</v>
      </c>
      <c r="K15" s="89">
        <f t="shared" si="1"/>
        <v>0</v>
      </c>
      <c r="L15" s="75">
        <v>4.87</v>
      </c>
      <c r="M15" s="88">
        <f t="shared" si="2"/>
        <v>0</v>
      </c>
    </row>
    <row r="16" spans="1:13" ht="12.75" customHeight="1">
      <c r="A16" s="108" t="s">
        <v>6</v>
      </c>
      <c r="B16" s="86" t="s">
        <v>175</v>
      </c>
      <c r="C16" s="85" t="s">
        <v>18</v>
      </c>
      <c r="D16" s="85" t="s">
        <v>614</v>
      </c>
      <c r="E16" s="85" t="s">
        <v>177</v>
      </c>
      <c r="F16" s="87" t="s">
        <v>196</v>
      </c>
      <c r="G16" s="230">
        <v>10</v>
      </c>
      <c r="H16" s="111">
        <v>0</v>
      </c>
      <c r="I16" s="88">
        <f t="shared" si="0"/>
        <v>0</v>
      </c>
      <c r="J16" s="75">
        <v>10.08</v>
      </c>
      <c r="K16" s="89">
        <f t="shared" si="1"/>
        <v>0.9920634920634921</v>
      </c>
      <c r="L16" s="75">
        <v>10.08</v>
      </c>
      <c r="M16" s="88">
        <f t="shared" si="2"/>
        <v>0.9920634920634921</v>
      </c>
    </row>
    <row r="17" spans="1:13" ht="12.75" customHeight="1">
      <c r="A17" s="108" t="s">
        <v>6</v>
      </c>
      <c r="B17" s="86" t="s">
        <v>175</v>
      </c>
      <c r="C17" s="85" t="s">
        <v>18</v>
      </c>
      <c r="D17" s="85" t="s">
        <v>197</v>
      </c>
      <c r="E17" s="85" t="s">
        <v>177</v>
      </c>
      <c r="F17" s="87" t="s">
        <v>629</v>
      </c>
      <c r="G17" s="230">
        <v>1.5</v>
      </c>
      <c r="H17" s="111">
        <v>0</v>
      </c>
      <c r="I17" s="88">
        <f t="shared" si="0"/>
        <v>0</v>
      </c>
      <c r="J17" s="75">
        <v>3</v>
      </c>
      <c r="K17" s="89">
        <f t="shared" si="1"/>
        <v>0.5</v>
      </c>
      <c r="L17" s="75">
        <v>1.5</v>
      </c>
      <c r="M17" s="88">
        <f t="shared" si="2"/>
        <v>1</v>
      </c>
    </row>
    <row r="18" spans="1:13" ht="12.75" customHeight="1">
      <c r="A18" s="108" t="s">
        <v>6</v>
      </c>
      <c r="B18" s="86" t="s">
        <v>175</v>
      </c>
      <c r="C18" s="85" t="s">
        <v>18</v>
      </c>
      <c r="D18" s="85" t="s">
        <v>198</v>
      </c>
      <c r="E18" s="85" t="s">
        <v>177</v>
      </c>
      <c r="F18" s="87" t="s">
        <v>199</v>
      </c>
      <c r="G18" s="230">
        <v>2048</v>
      </c>
      <c r="H18" s="111">
        <v>2048</v>
      </c>
      <c r="I18" s="88">
        <f t="shared" si="0"/>
        <v>1</v>
      </c>
      <c r="J18" s="75">
        <v>2048</v>
      </c>
      <c r="K18" s="89">
        <f t="shared" si="1"/>
        <v>1</v>
      </c>
      <c r="L18" s="75">
        <v>887.203</v>
      </c>
      <c r="M18" s="88">
        <f t="shared" si="2"/>
        <v>2.3083781276663853</v>
      </c>
    </row>
    <row r="19" spans="1:13" ht="12.75" customHeight="1">
      <c r="A19" s="108" t="s">
        <v>6</v>
      </c>
      <c r="B19" s="86" t="s">
        <v>175</v>
      </c>
      <c r="C19" s="85" t="s">
        <v>18</v>
      </c>
      <c r="D19" s="85" t="s">
        <v>200</v>
      </c>
      <c r="E19" s="85" t="s">
        <v>177</v>
      </c>
      <c r="F19" s="87" t="s">
        <v>201</v>
      </c>
      <c r="G19" s="230">
        <v>500</v>
      </c>
      <c r="H19" s="111">
        <v>1303</v>
      </c>
      <c r="I19" s="88">
        <f t="shared" si="0"/>
        <v>0.3837298541826554</v>
      </c>
      <c r="J19" s="75">
        <v>665.16</v>
      </c>
      <c r="K19" s="89">
        <f t="shared" si="1"/>
        <v>0.751698839376992</v>
      </c>
      <c r="L19" s="75">
        <v>0</v>
      </c>
      <c r="M19" s="88">
        <f t="shared" si="2"/>
        <v>0</v>
      </c>
    </row>
    <row r="20" spans="1:13" ht="12.75" customHeight="1">
      <c r="A20" s="108" t="s">
        <v>6</v>
      </c>
      <c r="B20" s="86" t="s">
        <v>202</v>
      </c>
      <c r="C20" s="85" t="s">
        <v>18</v>
      </c>
      <c r="D20" s="85" t="s">
        <v>203</v>
      </c>
      <c r="E20" s="85" t="s">
        <v>204</v>
      </c>
      <c r="F20" s="87" t="s">
        <v>205</v>
      </c>
      <c r="G20" s="230">
        <v>600</v>
      </c>
      <c r="H20" s="111">
        <v>0</v>
      </c>
      <c r="I20" s="88">
        <f t="shared" si="0"/>
        <v>0</v>
      </c>
      <c r="J20" s="75">
        <v>0</v>
      </c>
      <c r="K20" s="89">
        <f t="shared" si="1"/>
        <v>0</v>
      </c>
      <c r="L20" s="75">
        <v>0</v>
      </c>
      <c r="M20" s="88">
        <f t="shared" si="2"/>
        <v>0</v>
      </c>
    </row>
    <row r="21" spans="1:13" ht="12.75" customHeight="1" thickBot="1">
      <c r="A21" s="108" t="s">
        <v>6</v>
      </c>
      <c r="B21" s="86" t="s">
        <v>175</v>
      </c>
      <c r="C21" s="85" t="s">
        <v>18</v>
      </c>
      <c r="D21" s="85" t="s">
        <v>349</v>
      </c>
      <c r="E21" s="85" t="s">
        <v>177</v>
      </c>
      <c r="F21" s="87" t="s">
        <v>785</v>
      </c>
      <c r="G21" s="230">
        <v>0</v>
      </c>
      <c r="H21" s="111">
        <v>0</v>
      </c>
      <c r="I21" s="88">
        <f>IF(H21=0,0,$G21/H21)</f>
        <v>0</v>
      </c>
      <c r="J21" s="75">
        <v>1130</v>
      </c>
      <c r="K21" s="89">
        <f>IF(J21=0,0,$G21/J21)</f>
        <v>0</v>
      </c>
      <c r="L21" s="75">
        <v>0</v>
      </c>
      <c r="M21" s="88">
        <f>IF(L21=0,0,$G21/L21)</f>
        <v>0</v>
      </c>
    </row>
    <row r="22" spans="1:15" ht="12.75" customHeight="1">
      <c r="A22" s="109"/>
      <c r="B22" s="91" t="s">
        <v>11</v>
      </c>
      <c r="C22" s="90" t="s">
        <v>18</v>
      </c>
      <c r="D22" s="90"/>
      <c r="E22" s="90"/>
      <c r="F22" s="92"/>
      <c r="G22" s="231">
        <f>SUM(G6:G21)</f>
        <v>9639.5</v>
      </c>
      <c r="H22" s="93">
        <f>SUM(H6:H21)</f>
        <v>11051</v>
      </c>
      <c r="I22" s="94">
        <f t="shared" si="0"/>
        <v>0.8722740023527282</v>
      </c>
      <c r="J22" s="93">
        <f>SUM(J6:J21)</f>
        <v>10513.49</v>
      </c>
      <c r="K22" s="94">
        <f>IF(J22=0,0,$G22/J22)</f>
        <v>0.9168696598370284</v>
      </c>
      <c r="L22" s="93">
        <f>SUM(L6:L21)</f>
        <v>5880.773999999999</v>
      </c>
      <c r="M22" s="94">
        <f>IF(L22=0,0,$G22/L22)</f>
        <v>1.6391549819802633</v>
      </c>
      <c r="O22" s="80"/>
    </row>
    <row r="24" spans="1:15" ht="12.75" customHeight="1">
      <c r="A24" s="107"/>
      <c r="B24" s="95" t="s">
        <v>12</v>
      </c>
      <c r="C24" s="81"/>
      <c r="D24" s="81"/>
      <c r="E24" s="81"/>
      <c r="F24" s="96"/>
      <c r="G24" s="232">
        <f>SUM(G22)</f>
        <v>9639.5</v>
      </c>
      <c r="H24" s="103">
        <f>SUM(H22)</f>
        <v>11051</v>
      </c>
      <c r="I24" s="98">
        <f>IF(H24=0,0,$G24/H24)</f>
        <v>0.8722740023527282</v>
      </c>
      <c r="J24" s="97">
        <f>SUM(J22)</f>
        <v>10513.49</v>
      </c>
      <c r="K24" s="99">
        <f>IF(J24=0,0,$G24/J24)</f>
        <v>0.9168696598370284</v>
      </c>
      <c r="L24" s="97">
        <f>SUM(L22)</f>
        <v>5880.773999999999</v>
      </c>
      <c r="M24" s="99">
        <f>IF(L24=0,0,$G24/L24)</f>
        <v>1.6391549819802633</v>
      </c>
      <c r="O24" s="80"/>
    </row>
    <row r="27" spans="1:13" ht="12.75" customHeight="1">
      <c r="A27" s="108" t="s">
        <v>13</v>
      </c>
      <c r="B27" s="86" t="s">
        <v>206</v>
      </c>
      <c r="C27" s="85" t="s">
        <v>207</v>
      </c>
      <c r="D27" s="85" t="s">
        <v>208</v>
      </c>
      <c r="E27" s="85" t="s">
        <v>209</v>
      </c>
      <c r="F27" s="87" t="s">
        <v>210</v>
      </c>
      <c r="G27" s="230">
        <v>10</v>
      </c>
      <c r="H27" s="111">
        <v>0</v>
      </c>
      <c r="I27" s="88">
        <f aca="true" t="shared" si="3" ref="I27:I34">IF(H27=0,0,$G27/H27)</f>
        <v>0</v>
      </c>
      <c r="J27" s="75">
        <v>0</v>
      </c>
      <c r="K27" s="88">
        <f aca="true" t="shared" si="4" ref="K27:K34">IF(J27=0,0,$G27/J27)</f>
        <v>0</v>
      </c>
      <c r="L27" s="75">
        <v>13.999</v>
      </c>
      <c r="M27" s="88">
        <f aca="true" t="shared" si="5" ref="M27:M34">IF(L27=0,0,$G27/L27)</f>
        <v>0.7143367383384527</v>
      </c>
    </row>
    <row r="28" spans="1:13" ht="12.75" customHeight="1">
      <c r="A28" s="108" t="s">
        <v>13</v>
      </c>
      <c r="B28" s="86" t="s">
        <v>206</v>
      </c>
      <c r="C28" s="85" t="s">
        <v>207</v>
      </c>
      <c r="D28" s="85" t="s">
        <v>211</v>
      </c>
      <c r="E28" s="85" t="s">
        <v>209</v>
      </c>
      <c r="F28" s="87" t="s">
        <v>212</v>
      </c>
      <c r="G28" s="230">
        <v>3</v>
      </c>
      <c r="H28" s="111">
        <v>2</v>
      </c>
      <c r="I28" s="88">
        <f t="shared" si="3"/>
        <v>1.5</v>
      </c>
      <c r="J28" s="75">
        <v>2</v>
      </c>
      <c r="K28" s="88">
        <f t="shared" si="4"/>
        <v>1.5</v>
      </c>
      <c r="L28" s="75">
        <v>0</v>
      </c>
      <c r="M28" s="88">
        <f t="shared" si="5"/>
        <v>0</v>
      </c>
    </row>
    <row r="29" spans="1:13" ht="12.75" customHeight="1">
      <c r="A29" s="108" t="s">
        <v>13</v>
      </c>
      <c r="B29" s="86" t="s">
        <v>206</v>
      </c>
      <c r="C29" s="85" t="s">
        <v>207</v>
      </c>
      <c r="D29" s="85" t="s">
        <v>176</v>
      </c>
      <c r="E29" s="85" t="s">
        <v>209</v>
      </c>
      <c r="F29" s="87" t="s">
        <v>213</v>
      </c>
      <c r="G29" s="230">
        <v>15</v>
      </c>
      <c r="H29" s="111">
        <v>10</v>
      </c>
      <c r="I29" s="88">
        <f t="shared" si="3"/>
        <v>1.5</v>
      </c>
      <c r="J29" s="75">
        <v>10</v>
      </c>
      <c r="K29" s="88">
        <f t="shared" si="4"/>
        <v>1.5</v>
      </c>
      <c r="L29" s="75">
        <v>22.2</v>
      </c>
      <c r="M29" s="88">
        <f t="shared" si="5"/>
        <v>0.6756756756756757</v>
      </c>
    </row>
    <row r="30" spans="1:13" ht="12.75" customHeight="1">
      <c r="A30" s="108" t="s">
        <v>13</v>
      </c>
      <c r="B30" s="86" t="s">
        <v>206</v>
      </c>
      <c r="C30" s="85" t="s">
        <v>207</v>
      </c>
      <c r="D30" s="85" t="s">
        <v>236</v>
      </c>
      <c r="E30" s="85" t="s">
        <v>209</v>
      </c>
      <c r="F30" s="87" t="s">
        <v>237</v>
      </c>
      <c r="G30" s="230">
        <v>0</v>
      </c>
      <c r="H30" s="111">
        <v>3</v>
      </c>
      <c r="I30" s="88">
        <f t="shared" si="3"/>
        <v>0</v>
      </c>
      <c r="J30" s="75">
        <v>3</v>
      </c>
      <c r="K30" s="88">
        <f t="shared" si="4"/>
        <v>0</v>
      </c>
      <c r="L30" s="75">
        <v>0</v>
      </c>
      <c r="M30" s="88">
        <f t="shared" si="5"/>
        <v>0</v>
      </c>
    </row>
    <row r="31" spans="1:13" ht="12.75" customHeight="1">
      <c r="A31" s="108" t="s">
        <v>13</v>
      </c>
      <c r="B31" s="86" t="s">
        <v>206</v>
      </c>
      <c r="C31" s="85" t="s">
        <v>207</v>
      </c>
      <c r="D31" s="85" t="s">
        <v>191</v>
      </c>
      <c r="E31" s="85" t="s">
        <v>209</v>
      </c>
      <c r="F31" s="87" t="s">
        <v>238</v>
      </c>
      <c r="G31" s="230">
        <v>0</v>
      </c>
      <c r="H31" s="111">
        <v>10</v>
      </c>
      <c r="I31" s="88">
        <f t="shared" si="3"/>
        <v>0</v>
      </c>
      <c r="J31" s="75">
        <v>10</v>
      </c>
      <c r="K31" s="88">
        <f t="shared" si="4"/>
        <v>0</v>
      </c>
      <c r="L31" s="75">
        <v>0</v>
      </c>
      <c r="M31" s="88">
        <f t="shared" si="5"/>
        <v>0</v>
      </c>
    </row>
    <row r="32" spans="1:13" ht="12.75" customHeight="1">
      <c r="A32" s="108" t="s">
        <v>13</v>
      </c>
      <c r="B32" s="86" t="s">
        <v>206</v>
      </c>
      <c r="C32" s="85" t="s">
        <v>207</v>
      </c>
      <c r="D32" s="85" t="s">
        <v>195</v>
      </c>
      <c r="E32" s="85" t="s">
        <v>209</v>
      </c>
      <c r="F32" s="87" t="s">
        <v>214</v>
      </c>
      <c r="G32" s="230">
        <v>2</v>
      </c>
      <c r="H32" s="111">
        <v>5</v>
      </c>
      <c r="I32" s="88">
        <f t="shared" si="3"/>
        <v>0.4</v>
      </c>
      <c r="J32" s="75">
        <v>5</v>
      </c>
      <c r="K32" s="88">
        <f t="shared" si="4"/>
        <v>0.4</v>
      </c>
      <c r="L32" s="75">
        <v>0</v>
      </c>
      <c r="M32" s="88">
        <f t="shared" si="5"/>
        <v>0</v>
      </c>
    </row>
    <row r="33" spans="1:13" ht="12.75" customHeight="1" thickBot="1">
      <c r="A33" s="108" t="s">
        <v>13</v>
      </c>
      <c r="B33" s="86" t="s">
        <v>206</v>
      </c>
      <c r="C33" s="85" t="s">
        <v>207</v>
      </c>
      <c r="D33" s="85" t="s">
        <v>200</v>
      </c>
      <c r="E33" s="85" t="s">
        <v>209</v>
      </c>
      <c r="F33" s="87" t="s">
        <v>206</v>
      </c>
      <c r="G33" s="230">
        <v>500</v>
      </c>
      <c r="H33" s="111">
        <v>500</v>
      </c>
      <c r="I33" s="88">
        <f t="shared" si="3"/>
        <v>1</v>
      </c>
      <c r="J33" s="75">
        <v>440</v>
      </c>
      <c r="K33" s="88">
        <f t="shared" si="4"/>
        <v>1.1363636363636365</v>
      </c>
      <c r="L33" s="75">
        <v>0</v>
      </c>
      <c r="M33" s="88">
        <f t="shared" si="5"/>
        <v>0</v>
      </c>
    </row>
    <row r="34" spans="1:15" ht="12.75" customHeight="1">
      <c r="A34" s="109"/>
      <c r="B34" s="91" t="s">
        <v>11</v>
      </c>
      <c r="C34" s="90" t="s">
        <v>207</v>
      </c>
      <c r="D34" s="90"/>
      <c r="E34" s="90"/>
      <c r="F34" s="92"/>
      <c r="G34" s="231">
        <f>SUM(G27:G33)</f>
        <v>530</v>
      </c>
      <c r="H34" s="93">
        <f>SUM(H27:H33)</f>
        <v>530</v>
      </c>
      <c r="I34" s="94">
        <f t="shared" si="3"/>
        <v>1</v>
      </c>
      <c r="J34" s="93">
        <f>SUM(J27:J33)</f>
        <v>470</v>
      </c>
      <c r="K34" s="94">
        <f t="shared" si="4"/>
        <v>1.127659574468085</v>
      </c>
      <c r="L34" s="93">
        <f>SUM(L27:L33)</f>
        <v>36.199</v>
      </c>
      <c r="M34" s="94">
        <f t="shared" si="5"/>
        <v>14.641288433382138</v>
      </c>
      <c r="O34" s="80"/>
    </row>
    <row r="36" spans="1:13" ht="12.75" customHeight="1">
      <c r="A36" s="108" t="s">
        <v>13</v>
      </c>
      <c r="B36" s="86" t="s">
        <v>215</v>
      </c>
      <c r="C36" s="85" t="s">
        <v>216</v>
      </c>
      <c r="D36" s="85" t="s">
        <v>217</v>
      </c>
      <c r="E36" s="85" t="s">
        <v>218</v>
      </c>
      <c r="F36" s="87" t="s">
        <v>219</v>
      </c>
      <c r="G36" s="230">
        <v>60</v>
      </c>
      <c r="H36" s="111">
        <v>0</v>
      </c>
      <c r="I36" s="88">
        <f aca="true" t="shared" si="6" ref="I36:I59">IF(H36=0,0,$G36/H36)</f>
        <v>0</v>
      </c>
      <c r="J36" s="75">
        <v>80</v>
      </c>
      <c r="K36" s="89">
        <f aca="true" t="shared" si="7" ref="K36:K59">IF(J36=0,0,$G36/J36)</f>
        <v>0.75</v>
      </c>
      <c r="L36" s="75">
        <v>40.636</v>
      </c>
      <c r="M36" s="89">
        <f aca="true" t="shared" si="8" ref="M36:M59">IF(L36=0,0,$G36/L36)</f>
        <v>1.476523279850379</v>
      </c>
    </row>
    <row r="37" spans="1:13" ht="12.75" customHeight="1">
      <c r="A37" s="108" t="s">
        <v>13</v>
      </c>
      <c r="B37" s="86" t="s">
        <v>215</v>
      </c>
      <c r="C37" s="85" t="s">
        <v>216</v>
      </c>
      <c r="D37" s="85" t="s">
        <v>220</v>
      </c>
      <c r="E37" s="85" t="s">
        <v>218</v>
      </c>
      <c r="F37" s="87" t="s">
        <v>221</v>
      </c>
      <c r="G37" s="230">
        <v>15</v>
      </c>
      <c r="H37" s="111">
        <v>0</v>
      </c>
      <c r="I37" s="88">
        <f t="shared" si="6"/>
        <v>0</v>
      </c>
      <c r="J37" s="75">
        <v>9.6</v>
      </c>
      <c r="K37" s="89">
        <f t="shared" si="7"/>
        <v>1.5625</v>
      </c>
      <c r="L37" s="75">
        <v>8</v>
      </c>
      <c r="M37" s="89">
        <f t="shared" si="8"/>
        <v>1.875</v>
      </c>
    </row>
    <row r="38" spans="1:13" ht="12.75" customHeight="1">
      <c r="A38" s="108" t="s">
        <v>13</v>
      </c>
      <c r="B38" s="86" t="s">
        <v>215</v>
      </c>
      <c r="C38" s="85" t="s">
        <v>216</v>
      </c>
      <c r="D38" s="85" t="s">
        <v>222</v>
      </c>
      <c r="E38" s="85" t="s">
        <v>218</v>
      </c>
      <c r="F38" s="87" t="s">
        <v>223</v>
      </c>
      <c r="G38" s="230">
        <v>5</v>
      </c>
      <c r="H38" s="111">
        <v>0</v>
      </c>
      <c r="I38" s="88">
        <f t="shared" si="6"/>
        <v>0</v>
      </c>
      <c r="J38" s="75">
        <v>3.46</v>
      </c>
      <c r="K38" s="89">
        <f t="shared" si="7"/>
        <v>1.4450867052023122</v>
      </c>
      <c r="L38" s="75">
        <v>2.88</v>
      </c>
      <c r="M38" s="89">
        <f t="shared" si="8"/>
        <v>1.7361111111111112</v>
      </c>
    </row>
    <row r="39" spans="1:13" ht="12.75" customHeight="1">
      <c r="A39" s="108" t="s">
        <v>13</v>
      </c>
      <c r="B39" s="86" t="s">
        <v>215</v>
      </c>
      <c r="C39" s="85" t="s">
        <v>216</v>
      </c>
      <c r="D39" s="85" t="s">
        <v>211</v>
      </c>
      <c r="E39" s="85" t="s">
        <v>218</v>
      </c>
      <c r="F39" s="87" t="s">
        <v>224</v>
      </c>
      <c r="G39" s="230">
        <v>80</v>
      </c>
      <c r="H39" s="111">
        <v>70</v>
      </c>
      <c r="I39" s="88">
        <f t="shared" si="6"/>
        <v>1.1428571428571428</v>
      </c>
      <c r="J39" s="75">
        <v>7.79</v>
      </c>
      <c r="K39" s="89">
        <f t="shared" si="7"/>
        <v>10.269576379974326</v>
      </c>
      <c r="L39" s="75">
        <v>7.786</v>
      </c>
      <c r="M39" s="89">
        <f t="shared" si="8"/>
        <v>10.274852298998203</v>
      </c>
    </row>
    <row r="40" spans="1:13" ht="12.75" customHeight="1">
      <c r="A40" s="108" t="s">
        <v>13</v>
      </c>
      <c r="B40" s="86" t="s">
        <v>215</v>
      </c>
      <c r="C40" s="85" t="s">
        <v>216</v>
      </c>
      <c r="D40" s="85" t="s">
        <v>225</v>
      </c>
      <c r="E40" s="85" t="s">
        <v>218</v>
      </c>
      <c r="F40" s="87" t="s">
        <v>226</v>
      </c>
      <c r="G40" s="230">
        <v>50</v>
      </c>
      <c r="H40" s="111">
        <v>50</v>
      </c>
      <c r="I40" s="88">
        <f t="shared" si="6"/>
        <v>1</v>
      </c>
      <c r="J40" s="75">
        <v>0</v>
      </c>
      <c r="K40" s="89">
        <f t="shared" si="7"/>
        <v>0</v>
      </c>
      <c r="L40" s="75">
        <v>0</v>
      </c>
      <c r="M40" s="89">
        <f t="shared" si="8"/>
        <v>0</v>
      </c>
    </row>
    <row r="41" spans="1:13" ht="12.75" customHeight="1">
      <c r="A41" s="108" t="s">
        <v>13</v>
      </c>
      <c r="B41" s="86" t="s">
        <v>215</v>
      </c>
      <c r="C41" s="85" t="s">
        <v>216</v>
      </c>
      <c r="D41" s="85" t="s">
        <v>227</v>
      </c>
      <c r="E41" s="85" t="s">
        <v>218</v>
      </c>
      <c r="F41" s="87" t="s">
        <v>228</v>
      </c>
      <c r="G41" s="230">
        <v>70</v>
      </c>
      <c r="H41" s="111">
        <v>70</v>
      </c>
      <c r="I41" s="88">
        <f t="shared" si="6"/>
        <v>1</v>
      </c>
      <c r="J41" s="75">
        <v>77.16</v>
      </c>
      <c r="K41" s="89">
        <f t="shared" si="7"/>
        <v>0.9072058061171592</v>
      </c>
      <c r="L41" s="75">
        <v>65.158</v>
      </c>
      <c r="M41" s="89">
        <f t="shared" si="8"/>
        <v>1.0743116731636944</v>
      </c>
    </row>
    <row r="42" spans="1:13" ht="12.75" customHeight="1">
      <c r="A42" s="108" t="s">
        <v>13</v>
      </c>
      <c r="B42" s="86" t="s">
        <v>215</v>
      </c>
      <c r="C42" s="85" t="s">
        <v>216</v>
      </c>
      <c r="D42" s="85" t="s">
        <v>176</v>
      </c>
      <c r="E42" s="85" t="s">
        <v>218</v>
      </c>
      <c r="F42" s="87" t="s">
        <v>229</v>
      </c>
      <c r="G42" s="230">
        <v>250</v>
      </c>
      <c r="H42" s="111">
        <v>140</v>
      </c>
      <c r="I42" s="88">
        <f t="shared" si="6"/>
        <v>1.7857142857142858</v>
      </c>
      <c r="J42" s="75">
        <v>432.15</v>
      </c>
      <c r="K42" s="89">
        <f t="shared" si="7"/>
        <v>0.5785028346638899</v>
      </c>
      <c r="L42" s="75">
        <v>326.652</v>
      </c>
      <c r="M42" s="89">
        <f t="shared" si="8"/>
        <v>0.7653404846748222</v>
      </c>
    </row>
    <row r="43" spans="1:13" ht="12.75" customHeight="1">
      <c r="A43" s="108" t="s">
        <v>13</v>
      </c>
      <c r="B43" s="86" t="s">
        <v>215</v>
      </c>
      <c r="C43" s="85" t="s">
        <v>216</v>
      </c>
      <c r="D43" s="85" t="s">
        <v>179</v>
      </c>
      <c r="E43" s="85" t="s">
        <v>641</v>
      </c>
      <c r="F43" s="87" t="s">
        <v>644</v>
      </c>
      <c r="G43" s="230">
        <v>1</v>
      </c>
      <c r="H43" s="111">
        <v>1</v>
      </c>
      <c r="I43" s="88">
        <f t="shared" si="6"/>
        <v>1</v>
      </c>
      <c r="J43" s="75">
        <v>1</v>
      </c>
      <c r="K43" s="89">
        <f t="shared" si="7"/>
        <v>1</v>
      </c>
      <c r="L43" s="75">
        <v>0.116</v>
      </c>
      <c r="M43" s="89">
        <f t="shared" si="8"/>
        <v>8.620689655172413</v>
      </c>
    </row>
    <row r="44" spans="1:13" ht="12.75" customHeight="1">
      <c r="A44" s="108" t="s">
        <v>13</v>
      </c>
      <c r="B44" s="86" t="s">
        <v>215</v>
      </c>
      <c r="C44" s="85" t="s">
        <v>216</v>
      </c>
      <c r="D44" s="85" t="s">
        <v>181</v>
      </c>
      <c r="E44" s="85" t="s">
        <v>218</v>
      </c>
      <c r="F44" s="87" t="s">
        <v>230</v>
      </c>
      <c r="G44" s="230">
        <v>6</v>
      </c>
      <c r="H44" s="111">
        <v>0</v>
      </c>
      <c r="I44" s="88">
        <f t="shared" si="6"/>
        <v>0</v>
      </c>
      <c r="J44" s="75">
        <v>0</v>
      </c>
      <c r="K44" s="89">
        <f t="shared" si="7"/>
        <v>0</v>
      </c>
      <c r="L44" s="75">
        <v>0</v>
      </c>
      <c r="M44" s="89">
        <f t="shared" si="8"/>
        <v>0</v>
      </c>
    </row>
    <row r="45" spans="1:13" ht="12.75" customHeight="1">
      <c r="A45" s="108" t="s">
        <v>13</v>
      </c>
      <c r="B45" s="86" t="s">
        <v>215</v>
      </c>
      <c r="C45" s="85" t="s">
        <v>216</v>
      </c>
      <c r="D45" s="85" t="s">
        <v>181</v>
      </c>
      <c r="E45" s="85" t="s">
        <v>641</v>
      </c>
      <c r="F45" s="87" t="s">
        <v>642</v>
      </c>
      <c r="G45" s="230">
        <v>20</v>
      </c>
      <c r="H45" s="111">
        <v>0</v>
      </c>
      <c r="I45" s="88">
        <f t="shared" si="6"/>
        <v>0</v>
      </c>
      <c r="J45" s="75">
        <v>0</v>
      </c>
      <c r="K45" s="89">
        <f t="shared" si="7"/>
        <v>0</v>
      </c>
      <c r="L45" s="75">
        <v>0</v>
      </c>
      <c r="M45" s="89">
        <f t="shared" si="8"/>
        <v>0</v>
      </c>
    </row>
    <row r="46" spans="1:13" ht="12.75" customHeight="1">
      <c r="A46" s="108" t="s">
        <v>13</v>
      </c>
      <c r="B46" s="86" t="s">
        <v>215</v>
      </c>
      <c r="C46" s="85" t="s">
        <v>216</v>
      </c>
      <c r="D46" s="85" t="s">
        <v>183</v>
      </c>
      <c r="E46" s="85" t="s">
        <v>218</v>
      </c>
      <c r="F46" s="87" t="s">
        <v>184</v>
      </c>
      <c r="G46" s="230">
        <v>60</v>
      </c>
      <c r="H46" s="111">
        <v>70</v>
      </c>
      <c r="I46" s="88">
        <f t="shared" si="6"/>
        <v>0.8571428571428571</v>
      </c>
      <c r="J46" s="75">
        <v>50</v>
      </c>
      <c r="K46" s="89">
        <f t="shared" si="7"/>
        <v>1.2</v>
      </c>
      <c r="L46" s="75">
        <v>28.493</v>
      </c>
      <c r="M46" s="89">
        <f t="shared" si="8"/>
        <v>2.1057803671077107</v>
      </c>
    </row>
    <row r="47" spans="1:13" ht="12.75" customHeight="1">
      <c r="A47" s="108" t="s">
        <v>13</v>
      </c>
      <c r="B47" s="86" t="s">
        <v>215</v>
      </c>
      <c r="C47" s="85" t="s">
        <v>216</v>
      </c>
      <c r="D47" s="85" t="s">
        <v>183</v>
      </c>
      <c r="E47" s="85" t="s">
        <v>641</v>
      </c>
      <c r="F47" s="87" t="s">
        <v>643</v>
      </c>
      <c r="G47" s="230">
        <v>10</v>
      </c>
      <c r="H47" s="111">
        <v>0</v>
      </c>
      <c r="I47" s="88">
        <f t="shared" si="6"/>
        <v>0</v>
      </c>
      <c r="J47" s="75">
        <v>0</v>
      </c>
      <c r="K47" s="89">
        <f t="shared" si="7"/>
        <v>0</v>
      </c>
      <c r="L47" s="75">
        <v>0</v>
      </c>
      <c r="M47" s="89">
        <f t="shared" si="8"/>
        <v>0</v>
      </c>
    </row>
    <row r="48" spans="1:13" ht="12.75" customHeight="1">
      <c r="A48" s="108" t="s">
        <v>13</v>
      </c>
      <c r="B48" s="86" t="s">
        <v>215</v>
      </c>
      <c r="C48" s="85" t="s">
        <v>216</v>
      </c>
      <c r="D48" s="85" t="s">
        <v>231</v>
      </c>
      <c r="E48" s="85" t="s">
        <v>218</v>
      </c>
      <c r="F48" s="87" t="s">
        <v>232</v>
      </c>
      <c r="G48" s="230">
        <v>20</v>
      </c>
      <c r="H48" s="111">
        <v>35</v>
      </c>
      <c r="I48" s="88">
        <f t="shared" si="6"/>
        <v>0.5714285714285714</v>
      </c>
      <c r="J48" s="75">
        <v>30.85</v>
      </c>
      <c r="K48" s="89">
        <f t="shared" si="7"/>
        <v>0.6482982171799028</v>
      </c>
      <c r="L48" s="75">
        <v>14.85</v>
      </c>
      <c r="M48" s="89">
        <f t="shared" si="8"/>
        <v>1.3468013468013469</v>
      </c>
    </row>
    <row r="49" spans="1:13" ht="12.75" customHeight="1">
      <c r="A49" s="108" t="s">
        <v>13</v>
      </c>
      <c r="B49" s="86" t="s">
        <v>215</v>
      </c>
      <c r="C49" s="85" t="s">
        <v>216</v>
      </c>
      <c r="D49" s="85" t="s">
        <v>233</v>
      </c>
      <c r="E49" s="85" t="s">
        <v>218</v>
      </c>
      <c r="F49" s="87" t="s">
        <v>234</v>
      </c>
      <c r="G49" s="230">
        <v>100</v>
      </c>
      <c r="H49" s="111">
        <v>100</v>
      </c>
      <c r="I49" s="88">
        <f t="shared" si="6"/>
        <v>1</v>
      </c>
      <c r="J49" s="75">
        <v>100</v>
      </c>
      <c r="K49" s="89">
        <f t="shared" si="7"/>
        <v>1</v>
      </c>
      <c r="L49" s="75">
        <v>77.632</v>
      </c>
      <c r="M49" s="89">
        <f t="shared" si="8"/>
        <v>1.2881286067600988</v>
      </c>
    </row>
    <row r="50" spans="1:13" ht="12.75" customHeight="1">
      <c r="A50" s="108" t="s">
        <v>13</v>
      </c>
      <c r="B50" s="86" t="s">
        <v>215</v>
      </c>
      <c r="C50" s="85" t="s">
        <v>216</v>
      </c>
      <c r="D50" s="85" t="s">
        <v>187</v>
      </c>
      <c r="E50" s="85" t="s">
        <v>218</v>
      </c>
      <c r="F50" s="87" t="s">
        <v>235</v>
      </c>
      <c r="G50" s="230">
        <v>20</v>
      </c>
      <c r="H50" s="111">
        <v>30</v>
      </c>
      <c r="I50" s="88">
        <f t="shared" si="6"/>
        <v>0.6666666666666666</v>
      </c>
      <c r="J50" s="75">
        <v>20</v>
      </c>
      <c r="K50" s="89">
        <f t="shared" si="7"/>
        <v>1</v>
      </c>
      <c r="L50" s="75">
        <v>11.626</v>
      </c>
      <c r="M50" s="89">
        <f t="shared" si="8"/>
        <v>1.7202821262687082</v>
      </c>
    </row>
    <row r="51" spans="1:13" ht="12.75" customHeight="1">
      <c r="A51" s="108" t="s">
        <v>13</v>
      </c>
      <c r="B51" s="86" t="s">
        <v>215</v>
      </c>
      <c r="C51" s="85" t="s">
        <v>216</v>
      </c>
      <c r="D51" s="85" t="s">
        <v>429</v>
      </c>
      <c r="E51" s="85" t="s">
        <v>218</v>
      </c>
      <c r="F51" s="87" t="s">
        <v>645</v>
      </c>
      <c r="G51" s="230">
        <v>8</v>
      </c>
      <c r="H51" s="111">
        <v>8</v>
      </c>
      <c r="I51" s="88">
        <f t="shared" si="6"/>
        <v>1</v>
      </c>
      <c r="J51" s="75">
        <v>8</v>
      </c>
      <c r="K51" s="89">
        <f t="shared" si="7"/>
        <v>1</v>
      </c>
      <c r="L51" s="75">
        <v>7.04</v>
      </c>
      <c r="M51" s="89">
        <f t="shared" si="8"/>
        <v>1.1363636363636365</v>
      </c>
    </row>
    <row r="52" spans="1:13" ht="12.75" customHeight="1">
      <c r="A52" s="108" t="s">
        <v>13</v>
      </c>
      <c r="B52" s="86" t="s">
        <v>215</v>
      </c>
      <c r="C52" s="85" t="s">
        <v>216</v>
      </c>
      <c r="D52" s="85" t="s">
        <v>189</v>
      </c>
      <c r="E52" s="85" t="s">
        <v>218</v>
      </c>
      <c r="F52" s="87" t="s">
        <v>190</v>
      </c>
      <c r="G52" s="230">
        <v>20</v>
      </c>
      <c r="H52" s="111">
        <v>30</v>
      </c>
      <c r="I52" s="88">
        <f t="shared" si="6"/>
        <v>0.6666666666666666</v>
      </c>
      <c r="J52" s="75">
        <v>0</v>
      </c>
      <c r="K52" s="89">
        <f t="shared" si="7"/>
        <v>0</v>
      </c>
      <c r="L52" s="75">
        <v>0</v>
      </c>
      <c r="M52" s="89">
        <f t="shared" si="8"/>
        <v>0</v>
      </c>
    </row>
    <row r="53" spans="1:13" ht="12.75" customHeight="1">
      <c r="A53" s="108" t="s">
        <v>13</v>
      </c>
      <c r="B53" s="86" t="s">
        <v>215</v>
      </c>
      <c r="C53" s="85" t="s">
        <v>216</v>
      </c>
      <c r="D53" s="85" t="s">
        <v>236</v>
      </c>
      <c r="E53" s="85" t="s">
        <v>218</v>
      </c>
      <c r="F53" s="87" t="s">
        <v>237</v>
      </c>
      <c r="G53" s="230">
        <v>20</v>
      </c>
      <c r="H53" s="111">
        <v>30</v>
      </c>
      <c r="I53" s="88">
        <f t="shared" si="6"/>
        <v>0.6666666666666666</v>
      </c>
      <c r="J53" s="75">
        <v>15</v>
      </c>
      <c r="K53" s="89">
        <f t="shared" si="7"/>
        <v>1.3333333333333333</v>
      </c>
      <c r="L53" s="75">
        <v>12.6</v>
      </c>
      <c r="M53" s="89">
        <f t="shared" si="8"/>
        <v>1.5873015873015874</v>
      </c>
    </row>
    <row r="54" spans="1:13" ht="12.75" customHeight="1">
      <c r="A54" s="108" t="s">
        <v>13</v>
      </c>
      <c r="B54" s="86" t="s">
        <v>215</v>
      </c>
      <c r="C54" s="85" t="s">
        <v>216</v>
      </c>
      <c r="D54" s="85" t="s">
        <v>191</v>
      </c>
      <c r="E54" s="85" t="s">
        <v>218</v>
      </c>
      <c r="F54" s="87" t="s">
        <v>238</v>
      </c>
      <c r="G54" s="230">
        <v>120</v>
      </c>
      <c r="H54" s="111">
        <v>150</v>
      </c>
      <c r="I54" s="88">
        <f t="shared" si="6"/>
        <v>0.8</v>
      </c>
      <c r="J54" s="75">
        <v>61</v>
      </c>
      <c r="K54" s="89">
        <f t="shared" si="7"/>
        <v>1.9672131147540983</v>
      </c>
      <c r="L54" s="75">
        <v>59.576</v>
      </c>
      <c r="M54" s="89">
        <f t="shared" si="8"/>
        <v>2.014233919699208</v>
      </c>
    </row>
    <row r="55" spans="1:13" ht="12.75" customHeight="1">
      <c r="A55" s="108" t="s">
        <v>13</v>
      </c>
      <c r="B55" s="86" t="s">
        <v>215</v>
      </c>
      <c r="C55" s="85" t="s">
        <v>216</v>
      </c>
      <c r="D55" s="85" t="s">
        <v>193</v>
      </c>
      <c r="E55" s="85" t="s">
        <v>218</v>
      </c>
      <c r="F55" s="87" t="s">
        <v>239</v>
      </c>
      <c r="G55" s="230">
        <v>400</v>
      </c>
      <c r="H55" s="111">
        <v>513</v>
      </c>
      <c r="I55" s="88">
        <f t="shared" si="6"/>
        <v>0.7797270955165692</v>
      </c>
      <c r="J55" s="75">
        <v>257.85</v>
      </c>
      <c r="K55" s="89">
        <f t="shared" si="7"/>
        <v>1.5512895094046926</v>
      </c>
      <c r="L55" s="75">
        <v>154.639</v>
      </c>
      <c r="M55" s="89">
        <f t="shared" si="8"/>
        <v>2.5866695982255443</v>
      </c>
    </row>
    <row r="56" spans="1:13" ht="12.75" customHeight="1">
      <c r="A56" s="108" t="s">
        <v>13</v>
      </c>
      <c r="B56" s="86" t="s">
        <v>215</v>
      </c>
      <c r="C56" s="85" t="s">
        <v>216</v>
      </c>
      <c r="D56" s="85" t="s">
        <v>240</v>
      </c>
      <c r="E56" s="85" t="s">
        <v>218</v>
      </c>
      <c r="F56" s="87" t="s">
        <v>241</v>
      </c>
      <c r="G56" s="230">
        <v>261</v>
      </c>
      <c r="H56" s="111">
        <v>620</v>
      </c>
      <c r="I56" s="88">
        <f t="shared" si="6"/>
        <v>0.42096774193548386</v>
      </c>
      <c r="J56" s="75">
        <v>620</v>
      </c>
      <c r="K56" s="89">
        <f t="shared" si="7"/>
        <v>0.42096774193548386</v>
      </c>
      <c r="L56" s="75">
        <v>515.26</v>
      </c>
      <c r="M56" s="89">
        <f t="shared" si="8"/>
        <v>0.5065403873772465</v>
      </c>
    </row>
    <row r="57" spans="1:13" ht="12.75" customHeight="1">
      <c r="A57" s="108" t="s">
        <v>13</v>
      </c>
      <c r="B57" s="86" t="s">
        <v>242</v>
      </c>
      <c r="C57" s="85" t="s">
        <v>216</v>
      </c>
      <c r="D57" s="85" t="s">
        <v>203</v>
      </c>
      <c r="E57" s="85" t="s">
        <v>243</v>
      </c>
      <c r="F57" s="87" t="s">
        <v>244</v>
      </c>
      <c r="G57" s="230">
        <v>850</v>
      </c>
      <c r="H57" s="111">
        <v>160</v>
      </c>
      <c r="I57" s="88">
        <f t="shared" si="6"/>
        <v>5.3125</v>
      </c>
      <c r="J57" s="75">
        <v>315.15</v>
      </c>
      <c r="K57" s="89">
        <f t="shared" si="7"/>
        <v>2.6971283515786135</v>
      </c>
      <c r="L57" s="75">
        <v>315.147</v>
      </c>
      <c r="M57" s="89">
        <f t="shared" si="8"/>
        <v>2.6971540265336493</v>
      </c>
    </row>
    <row r="58" spans="1:13" ht="12.75" customHeight="1" thickBot="1">
      <c r="A58" s="108" t="s">
        <v>13</v>
      </c>
      <c r="B58" s="86" t="s">
        <v>242</v>
      </c>
      <c r="C58" s="85" t="s">
        <v>216</v>
      </c>
      <c r="D58" s="85" t="s">
        <v>478</v>
      </c>
      <c r="E58" s="85" t="s">
        <v>243</v>
      </c>
      <c r="F58" s="87" t="s">
        <v>646</v>
      </c>
      <c r="G58" s="230">
        <v>0</v>
      </c>
      <c r="H58" s="111">
        <v>330</v>
      </c>
      <c r="I58" s="88">
        <f t="shared" si="6"/>
        <v>0</v>
      </c>
      <c r="J58" s="75">
        <v>390</v>
      </c>
      <c r="K58" s="89">
        <f t="shared" si="7"/>
        <v>0</v>
      </c>
      <c r="L58" s="75">
        <v>329.529</v>
      </c>
      <c r="M58" s="89">
        <f t="shared" si="8"/>
        <v>0</v>
      </c>
    </row>
    <row r="59" spans="1:15" ht="12.75" customHeight="1">
      <c r="A59" s="109"/>
      <c r="B59" s="91" t="s">
        <v>11</v>
      </c>
      <c r="C59" s="90" t="s">
        <v>216</v>
      </c>
      <c r="D59" s="90"/>
      <c r="E59" s="90"/>
      <c r="F59" s="92"/>
      <c r="G59" s="231">
        <f>SUM(G36:G58)</f>
        <v>2446</v>
      </c>
      <c r="H59" s="93">
        <f>SUM(H36:H58)</f>
        <v>2407</v>
      </c>
      <c r="I59" s="94">
        <f t="shared" si="6"/>
        <v>1.0162027420024928</v>
      </c>
      <c r="J59" s="93">
        <f>SUM(J36:J58)</f>
        <v>2479.01</v>
      </c>
      <c r="K59" s="94">
        <f t="shared" si="7"/>
        <v>0.9866842005477993</v>
      </c>
      <c r="L59" s="93">
        <f>SUM(L36:L58)</f>
        <v>1977.62</v>
      </c>
      <c r="M59" s="94">
        <f t="shared" si="8"/>
        <v>1.2368402423114653</v>
      </c>
      <c r="O59" s="80"/>
    </row>
    <row r="60" spans="9:13" ht="12.75" customHeight="1">
      <c r="I60" s="88"/>
      <c r="K60" s="89"/>
      <c r="M60" s="89"/>
    </row>
    <row r="61" spans="1:13" ht="12.75" customHeight="1">
      <c r="A61" s="108" t="s">
        <v>13</v>
      </c>
      <c r="B61" s="86" t="s">
        <v>245</v>
      </c>
      <c r="C61" s="85" t="s">
        <v>246</v>
      </c>
      <c r="D61" s="85" t="s">
        <v>217</v>
      </c>
      <c r="E61" s="85" t="s">
        <v>247</v>
      </c>
      <c r="F61" s="87" t="s">
        <v>248</v>
      </c>
      <c r="G61" s="230">
        <v>214</v>
      </c>
      <c r="H61" s="111">
        <v>214</v>
      </c>
      <c r="I61" s="88">
        <f aca="true" t="shared" si="9" ref="I61:I78">IF(H61=0,0,$G61/H61)</f>
        <v>1</v>
      </c>
      <c r="J61" s="75">
        <v>214</v>
      </c>
      <c r="K61" s="89">
        <f aca="true" t="shared" si="10" ref="K61:K78">IF(J61=0,0,$G61/J61)</f>
        <v>1</v>
      </c>
      <c r="L61" s="75">
        <v>183.987</v>
      </c>
      <c r="M61" s="89">
        <f aca="true" t="shared" si="11" ref="M61:M78">IF(L61=0,0,$G61/L61)</f>
        <v>1.163125655616973</v>
      </c>
    </row>
    <row r="62" spans="1:13" ht="12.75" customHeight="1">
      <c r="A62" s="108" t="s">
        <v>13</v>
      </c>
      <c r="B62" s="86" t="s">
        <v>245</v>
      </c>
      <c r="C62" s="85" t="s">
        <v>246</v>
      </c>
      <c r="D62" s="85" t="s">
        <v>249</v>
      </c>
      <c r="E62" s="85" t="s">
        <v>247</v>
      </c>
      <c r="F62" s="87" t="s">
        <v>250</v>
      </c>
      <c r="G62" s="230">
        <v>1124</v>
      </c>
      <c r="H62" s="111">
        <v>1124</v>
      </c>
      <c r="I62" s="88">
        <f t="shared" si="9"/>
        <v>1</v>
      </c>
      <c r="J62" s="75">
        <v>1124</v>
      </c>
      <c r="K62" s="89">
        <f t="shared" si="10"/>
        <v>1</v>
      </c>
      <c r="L62" s="75">
        <v>939.583</v>
      </c>
      <c r="M62" s="89">
        <f t="shared" si="11"/>
        <v>1.1962753689668715</v>
      </c>
    </row>
    <row r="63" spans="1:13" ht="12.75" customHeight="1">
      <c r="A63" s="108" t="s">
        <v>13</v>
      </c>
      <c r="B63" s="86" t="s">
        <v>245</v>
      </c>
      <c r="C63" s="85" t="s">
        <v>246</v>
      </c>
      <c r="D63" s="85" t="s">
        <v>220</v>
      </c>
      <c r="E63" s="85" t="s">
        <v>247</v>
      </c>
      <c r="F63" s="87" t="s">
        <v>251</v>
      </c>
      <c r="G63" s="230">
        <v>144</v>
      </c>
      <c r="H63" s="111">
        <v>144</v>
      </c>
      <c r="I63" s="88">
        <f t="shared" si="9"/>
        <v>1</v>
      </c>
      <c r="J63" s="75">
        <v>144</v>
      </c>
      <c r="K63" s="89">
        <f t="shared" si="10"/>
        <v>1</v>
      </c>
      <c r="L63" s="75">
        <v>118.71</v>
      </c>
      <c r="M63" s="89">
        <f t="shared" si="11"/>
        <v>1.2130401819560273</v>
      </c>
    </row>
    <row r="64" spans="1:13" ht="12.75" customHeight="1">
      <c r="A64" s="108" t="s">
        <v>13</v>
      </c>
      <c r="B64" s="86" t="s">
        <v>245</v>
      </c>
      <c r="C64" s="85" t="s">
        <v>246</v>
      </c>
      <c r="D64" s="85" t="s">
        <v>222</v>
      </c>
      <c r="E64" s="85" t="s">
        <v>247</v>
      </c>
      <c r="F64" s="87" t="s">
        <v>252</v>
      </c>
      <c r="G64" s="230">
        <v>120</v>
      </c>
      <c r="H64" s="111">
        <v>120</v>
      </c>
      <c r="I64" s="88">
        <f t="shared" si="9"/>
        <v>1</v>
      </c>
      <c r="J64" s="75">
        <v>120</v>
      </c>
      <c r="K64" s="89">
        <f t="shared" si="10"/>
        <v>1</v>
      </c>
      <c r="L64" s="75">
        <v>101.486</v>
      </c>
      <c r="M64" s="89">
        <f t="shared" si="11"/>
        <v>1.1824291035216679</v>
      </c>
    </row>
    <row r="65" spans="1:13" ht="12.75" customHeight="1">
      <c r="A65" s="108" t="s">
        <v>13</v>
      </c>
      <c r="B65" s="86" t="s">
        <v>245</v>
      </c>
      <c r="C65" s="85" t="s">
        <v>246</v>
      </c>
      <c r="D65" s="85" t="s">
        <v>253</v>
      </c>
      <c r="E65" s="85" t="s">
        <v>247</v>
      </c>
      <c r="F65" s="87" t="s">
        <v>254</v>
      </c>
      <c r="G65" s="230">
        <v>1</v>
      </c>
      <c r="H65" s="111">
        <v>5</v>
      </c>
      <c r="I65" s="88">
        <f t="shared" si="9"/>
        <v>0.2</v>
      </c>
      <c r="J65" s="75">
        <v>0.44</v>
      </c>
      <c r="K65" s="89">
        <f t="shared" si="10"/>
        <v>2.272727272727273</v>
      </c>
      <c r="L65" s="75">
        <v>0</v>
      </c>
      <c r="M65" s="89">
        <f t="shared" si="11"/>
        <v>0</v>
      </c>
    </row>
    <row r="66" spans="1:13" ht="12.75" customHeight="1">
      <c r="A66" s="108" t="s">
        <v>13</v>
      </c>
      <c r="B66" s="86" t="s">
        <v>245</v>
      </c>
      <c r="C66" s="85" t="s">
        <v>246</v>
      </c>
      <c r="D66" s="85" t="s">
        <v>227</v>
      </c>
      <c r="E66" s="85" t="s">
        <v>247</v>
      </c>
      <c r="F66" s="87" t="s">
        <v>228</v>
      </c>
      <c r="G66" s="230">
        <v>5</v>
      </c>
      <c r="H66" s="111">
        <v>10</v>
      </c>
      <c r="I66" s="88">
        <f t="shared" si="9"/>
        <v>0.5</v>
      </c>
      <c r="J66" s="75">
        <v>13.59</v>
      </c>
      <c r="K66" s="89">
        <f t="shared" si="10"/>
        <v>0.36791758646063283</v>
      </c>
      <c r="L66" s="75">
        <v>13.59</v>
      </c>
      <c r="M66" s="89">
        <f t="shared" si="11"/>
        <v>0.36791758646063283</v>
      </c>
    </row>
    <row r="67" spans="1:13" ht="12.75" customHeight="1">
      <c r="A67" s="108" t="s">
        <v>13</v>
      </c>
      <c r="B67" s="86" t="s">
        <v>245</v>
      </c>
      <c r="C67" s="85" t="s">
        <v>246</v>
      </c>
      <c r="D67" s="85" t="s">
        <v>176</v>
      </c>
      <c r="E67" s="85" t="s">
        <v>247</v>
      </c>
      <c r="F67" s="87" t="s">
        <v>229</v>
      </c>
      <c r="G67" s="230">
        <v>5</v>
      </c>
      <c r="H67" s="111">
        <v>5</v>
      </c>
      <c r="I67" s="88">
        <f t="shared" si="9"/>
        <v>1</v>
      </c>
      <c r="J67" s="75">
        <v>5</v>
      </c>
      <c r="K67" s="89">
        <f t="shared" si="10"/>
        <v>1</v>
      </c>
      <c r="L67" s="75">
        <v>0.084</v>
      </c>
      <c r="M67" s="89">
        <f t="shared" si="11"/>
        <v>59.52380952380952</v>
      </c>
    </row>
    <row r="68" spans="1:13" ht="12.75" customHeight="1">
      <c r="A68" s="108" t="s">
        <v>13</v>
      </c>
      <c r="B68" s="86" t="s">
        <v>245</v>
      </c>
      <c r="C68" s="85" t="s">
        <v>246</v>
      </c>
      <c r="D68" s="85" t="s">
        <v>233</v>
      </c>
      <c r="E68" s="85" t="s">
        <v>247</v>
      </c>
      <c r="F68" s="87" t="s">
        <v>234</v>
      </c>
      <c r="G68" s="230">
        <v>2</v>
      </c>
      <c r="H68" s="111">
        <v>2</v>
      </c>
      <c r="I68" s="88">
        <f t="shared" si="9"/>
        <v>1</v>
      </c>
      <c r="J68" s="75">
        <v>2</v>
      </c>
      <c r="K68" s="89">
        <f t="shared" si="10"/>
        <v>1</v>
      </c>
      <c r="L68" s="75">
        <v>0</v>
      </c>
      <c r="M68" s="89">
        <f t="shared" si="11"/>
        <v>0</v>
      </c>
    </row>
    <row r="69" spans="1:13" ht="12.75" customHeight="1">
      <c r="A69" s="108" t="s">
        <v>13</v>
      </c>
      <c r="B69" s="86" t="s">
        <v>245</v>
      </c>
      <c r="C69" s="85" t="s">
        <v>246</v>
      </c>
      <c r="D69" s="85" t="s">
        <v>187</v>
      </c>
      <c r="E69" s="85" t="s">
        <v>247</v>
      </c>
      <c r="F69" s="87" t="s">
        <v>235</v>
      </c>
      <c r="G69" s="230">
        <v>5</v>
      </c>
      <c r="H69" s="111">
        <v>24</v>
      </c>
      <c r="I69" s="88">
        <f t="shared" si="9"/>
        <v>0.20833333333333334</v>
      </c>
      <c r="J69" s="75">
        <v>24</v>
      </c>
      <c r="K69" s="89">
        <f t="shared" si="10"/>
        <v>0.20833333333333334</v>
      </c>
      <c r="L69" s="75">
        <v>4.415</v>
      </c>
      <c r="M69" s="89">
        <f t="shared" si="11"/>
        <v>1.1325028312570782</v>
      </c>
    </row>
    <row r="70" spans="1:13" ht="12.75" customHeight="1">
      <c r="A70" s="108" t="s">
        <v>13</v>
      </c>
      <c r="B70" s="86" t="s">
        <v>245</v>
      </c>
      <c r="C70" s="85" t="s">
        <v>246</v>
      </c>
      <c r="D70" s="85" t="s">
        <v>236</v>
      </c>
      <c r="E70" s="85" t="s">
        <v>247</v>
      </c>
      <c r="F70" s="87" t="s">
        <v>255</v>
      </c>
      <c r="G70" s="230">
        <v>12</v>
      </c>
      <c r="H70" s="111">
        <v>10</v>
      </c>
      <c r="I70" s="88">
        <f t="shared" si="9"/>
        <v>1.2</v>
      </c>
      <c r="J70" s="75">
        <v>10</v>
      </c>
      <c r="K70" s="89">
        <f t="shared" si="10"/>
        <v>1.2</v>
      </c>
      <c r="L70" s="75">
        <v>9.6</v>
      </c>
      <c r="M70" s="89">
        <f t="shared" si="11"/>
        <v>1.25</v>
      </c>
    </row>
    <row r="71" spans="1:13" ht="12.75" customHeight="1">
      <c r="A71" s="108" t="s">
        <v>13</v>
      </c>
      <c r="B71" s="86" t="s">
        <v>245</v>
      </c>
      <c r="C71" s="85" t="s">
        <v>246</v>
      </c>
      <c r="D71" s="85" t="s">
        <v>189</v>
      </c>
      <c r="E71" s="85" t="s">
        <v>247</v>
      </c>
      <c r="F71" s="87" t="s">
        <v>238</v>
      </c>
      <c r="G71" s="230">
        <v>0</v>
      </c>
      <c r="H71" s="111">
        <v>25</v>
      </c>
      <c r="I71" s="88">
        <f t="shared" si="9"/>
        <v>0</v>
      </c>
      <c r="J71" s="75">
        <v>25</v>
      </c>
      <c r="K71" s="89">
        <f t="shared" si="10"/>
        <v>0</v>
      </c>
      <c r="L71" s="75">
        <v>25</v>
      </c>
      <c r="M71" s="89">
        <f t="shared" si="11"/>
        <v>0</v>
      </c>
    </row>
    <row r="72" spans="1:13" ht="12.75" customHeight="1">
      <c r="A72" s="108" t="s">
        <v>13</v>
      </c>
      <c r="B72" s="86" t="s">
        <v>245</v>
      </c>
      <c r="C72" s="85" t="s">
        <v>246</v>
      </c>
      <c r="D72" s="85" t="s">
        <v>256</v>
      </c>
      <c r="E72" s="85" t="s">
        <v>247</v>
      </c>
      <c r="F72" s="87" t="s">
        <v>257</v>
      </c>
      <c r="G72" s="230">
        <v>5</v>
      </c>
      <c r="H72" s="111">
        <v>20</v>
      </c>
      <c r="I72" s="88">
        <f t="shared" si="9"/>
        <v>0.25</v>
      </c>
      <c r="J72" s="75">
        <v>16.41</v>
      </c>
      <c r="K72" s="89">
        <f t="shared" si="10"/>
        <v>0.30469226081657524</v>
      </c>
      <c r="L72" s="75">
        <v>0</v>
      </c>
      <c r="M72" s="89">
        <f t="shared" si="11"/>
        <v>0</v>
      </c>
    </row>
    <row r="73" spans="1:13" ht="12.75" customHeight="1">
      <c r="A73" s="108" t="s">
        <v>13</v>
      </c>
      <c r="B73" s="86" t="s">
        <v>245</v>
      </c>
      <c r="C73" s="85" t="s">
        <v>246</v>
      </c>
      <c r="D73" s="85" t="s">
        <v>195</v>
      </c>
      <c r="E73" s="85" t="s">
        <v>247</v>
      </c>
      <c r="F73" s="87" t="s">
        <v>258</v>
      </c>
      <c r="G73" s="230">
        <v>5</v>
      </c>
      <c r="H73" s="111">
        <v>10</v>
      </c>
      <c r="I73" s="88">
        <f t="shared" si="9"/>
        <v>0.5</v>
      </c>
      <c r="J73" s="75">
        <v>10</v>
      </c>
      <c r="K73" s="89">
        <f t="shared" si="10"/>
        <v>0.5</v>
      </c>
      <c r="L73" s="75">
        <v>4.069</v>
      </c>
      <c r="M73" s="89">
        <f t="shared" si="11"/>
        <v>1.228803145736053</v>
      </c>
    </row>
    <row r="74" spans="1:13" ht="12.75" customHeight="1">
      <c r="A74" s="108" t="s">
        <v>13</v>
      </c>
      <c r="B74" s="86" t="s">
        <v>245</v>
      </c>
      <c r="C74" s="85" t="s">
        <v>246</v>
      </c>
      <c r="D74" s="85" t="s">
        <v>259</v>
      </c>
      <c r="E74" s="85" t="s">
        <v>247</v>
      </c>
      <c r="F74" s="87" t="s">
        <v>260</v>
      </c>
      <c r="G74" s="230">
        <v>7</v>
      </c>
      <c r="H74" s="111">
        <v>0</v>
      </c>
      <c r="I74" s="88">
        <f t="shared" si="9"/>
        <v>0</v>
      </c>
      <c r="J74" s="75">
        <v>4.56</v>
      </c>
      <c r="K74" s="89">
        <f t="shared" si="10"/>
        <v>1.5350877192982457</v>
      </c>
      <c r="L74" s="75">
        <v>4.56</v>
      </c>
      <c r="M74" s="89">
        <f t="shared" si="11"/>
        <v>1.5350877192982457</v>
      </c>
    </row>
    <row r="75" spans="1:13" ht="12.75" customHeight="1">
      <c r="A75" s="108" t="s">
        <v>13</v>
      </c>
      <c r="B75" s="86" t="s">
        <v>245</v>
      </c>
      <c r="C75" s="85" t="s">
        <v>246</v>
      </c>
      <c r="D75" s="85" t="s">
        <v>261</v>
      </c>
      <c r="E75" s="85" t="s">
        <v>247</v>
      </c>
      <c r="F75" s="87" t="s">
        <v>262</v>
      </c>
      <c r="G75" s="230">
        <v>5</v>
      </c>
      <c r="H75" s="111">
        <v>10</v>
      </c>
      <c r="I75" s="88">
        <f t="shared" si="9"/>
        <v>0.5</v>
      </c>
      <c r="J75" s="75">
        <v>10</v>
      </c>
      <c r="K75" s="89">
        <f t="shared" si="10"/>
        <v>0.5</v>
      </c>
      <c r="L75" s="75">
        <v>0.799</v>
      </c>
      <c r="M75" s="89">
        <f t="shared" si="11"/>
        <v>6.257822277847309</v>
      </c>
    </row>
    <row r="76" spans="1:13" ht="12.75" customHeight="1">
      <c r="A76" s="108" t="s">
        <v>13</v>
      </c>
      <c r="B76" s="86" t="s">
        <v>245</v>
      </c>
      <c r="C76" s="85" t="s">
        <v>246</v>
      </c>
      <c r="D76" s="85" t="s">
        <v>263</v>
      </c>
      <c r="E76" s="85" t="s">
        <v>247</v>
      </c>
      <c r="F76" s="87" t="s">
        <v>264</v>
      </c>
      <c r="G76" s="230">
        <v>20</v>
      </c>
      <c r="H76" s="111">
        <v>20</v>
      </c>
      <c r="I76" s="88">
        <f t="shared" si="9"/>
        <v>1</v>
      </c>
      <c r="J76" s="75">
        <v>20</v>
      </c>
      <c r="K76" s="89">
        <f t="shared" si="10"/>
        <v>1</v>
      </c>
      <c r="L76" s="75">
        <v>0</v>
      </c>
      <c r="M76" s="89">
        <f t="shared" si="11"/>
        <v>0</v>
      </c>
    </row>
    <row r="77" spans="1:13" ht="12.75" customHeight="1" thickBot="1">
      <c r="A77" s="108" t="s">
        <v>13</v>
      </c>
      <c r="B77" s="86" t="s">
        <v>245</v>
      </c>
      <c r="C77" s="85" t="s">
        <v>246</v>
      </c>
      <c r="D77" s="85" t="s">
        <v>368</v>
      </c>
      <c r="E77" s="85" t="s">
        <v>247</v>
      </c>
      <c r="F77" s="87" t="s">
        <v>851</v>
      </c>
      <c r="G77" s="230">
        <v>30</v>
      </c>
      <c r="H77" s="111">
        <v>0</v>
      </c>
      <c r="I77" s="88">
        <f>IF(H77=0,0,$G77/H77)</f>
        <v>0</v>
      </c>
      <c r="J77" s="75">
        <v>0</v>
      </c>
      <c r="K77" s="89">
        <f>IF(J77=0,0,$G77/J77)</f>
        <v>0</v>
      </c>
      <c r="L77" s="75">
        <v>0</v>
      </c>
      <c r="M77" s="89">
        <f>IF(L77=0,0,$G77/L77)</f>
        <v>0</v>
      </c>
    </row>
    <row r="78" spans="1:15" ht="12.75" customHeight="1">
      <c r="A78" s="109"/>
      <c r="B78" s="91" t="s">
        <v>11</v>
      </c>
      <c r="C78" s="90" t="s">
        <v>246</v>
      </c>
      <c r="D78" s="90"/>
      <c r="E78" s="90"/>
      <c r="F78" s="92"/>
      <c r="G78" s="231">
        <f>SUM(G61:G77)</f>
        <v>1704</v>
      </c>
      <c r="H78" s="93">
        <f>SUM(H61:H77)</f>
        <v>1743</v>
      </c>
      <c r="I78" s="94">
        <f t="shared" si="9"/>
        <v>0.9776247848537005</v>
      </c>
      <c r="J78" s="93">
        <f>SUM(J61:J77)</f>
        <v>1743</v>
      </c>
      <c r="K78" s="94">
        <f t="shared" si="10"/>
        <v>0.9776247848537005</v>
      </c>
      <c r="L78" s="93">
        <f>SUM(L61:L77)</f>
        <v>1405.8829999999998</v>
      </c>
      <c r="M78" s="94">
        <f t="shared" si="11"/>
        <v>1.212049651357901</v>
      </c>
      <c r="O78" s="80"/>
    </row>
    <row r="79" spans="9:13" ht="12.75" customHeight="1">
      <c r="I79" s="88"/>
      <c r="K79" s="89"/>
      <c r="M79" s="89"/>
    </row>
    <row r="80" spans="1:13" ht="12.75" customHeight="1">
      <c r="A80" s="108" t="s">
        <v>13</v>
      </c>
      <c r="B80" s="86" t="s">
        <v>265</v>
      </c>
      <c r="C80" s="85" t="s">
        <v>18</v>
      </c>
      <c r="D80" s="85" t="s">
        <v>266</v>
      </c>
      <c r="E80" s="85" t="s">
        <v>267</v>
      </c>
      <c r="F80" s="87" t="s">
        <v>268</v>
      </c>
      <c r="G80" s="230">
        <v>13.35</v>
      </c>
      <c r="H80" s="111">
        <v>0</v>
      </c>
      <c r="I80" s="88">
        <f aca="true" t="shared" si="12" ref="I80:I101">IF(H80=0,0,$G80/H80)</f>
        <v>0</v>
      </c>
      <c r="J80" s="75">
        <v>19.05</v>
      </c>
      <c r="K80" s="89">
        <f aca="true" t="shared" si="13" ref="K80:K101">IF(J80=0,0,$G80/J80)</f>
        <v>0.7007874015748031</v>
      </c>
      <c r="L80" s="75">
        <v>11.43</v>
      </c>
      <c r="M80" s="89">
        <f aca="true" t="shared" si="14" ref="M80:M101">IF(L80=0,0,$G80/L80)</f>
        <v>1.167979002624672</v>
      </c>
    </row>
    <row r="81" spans="1:13" ht="12.75" customHeight="1">
      <c r="A81" s="108" t="s">
        <v>13</v>
      </c>
      <c r="B81" s="86" t="s">
        <v>265</v>
      </c>
      <c r="C81" s="85" t="s">
        <v>18</v>
      </c>
      <c r="D81" s="85" t="s">
        <v>266</v>
      </c>
      <c r="E81" s="85" t="s">
        <v>267</v>
      </c>
      <c r="F81" s="87" t="s">
        <v>269</v>
      </c>
      <c r="G81" s="230">
        <v>75.65</v>
      </c>
      <c r="H81" s="111">
        <v>0</v>
      </c>
      <c r="I81" s="88">
        <f t="shared" si="12"/>
        <v>0</v>
      </c>
      <c r="J81" s="75">
        <v>107.95</v>
      </c>
      <c r="K81" s="89">
        <f t="shared" si="13"/>
        <v>0.7007874015748032</v>
      </c>
      <c r="L81" s="75">
        <f>74.424-17.963</f>
        <v>56.461000000000006</v>
      </c>
      <c r="M81" s="89">
        <f t="shared" si="14"/>
        <v>1.3398629142239775</v>
      </c>
    </row>
    <row r="82" spans="1:13" ht="12.75" customHeight="1">
      <c r="A82" s="108" t="s">
        <v>13</v>
      </c>
      <c r="B82" s="86" t="s">
        <v>265</v>
      </c>
      <c r="C82" s="85" t="s">
        <v>18</v>
      </c>
      <c r="D82" s="85" t="s">
        <v>217</v>
      </c>
      <c r="E82" s="85" t="s">
        <v>267</v>
      </c>
      <c r="F82" s="87" t="s">
        <v>272</v>
      </c>
      <c r="G82" s="230">
        <v>80.55</v>
      </c>
      <c r="H82" s="111">
        <v>0</v>
      </c>
      <c r="I82" s="88">
        <f t="shared" si="12"/>
        <v>0</v>
      </c>
      <c r="J82" s="75">
        <v>89</v>
      </c>
      <c r="K82" s="89">
        <f t="shared" si="13"/>
        <v>0.9050561797752809</v>
      </c>
      <c r="L82" s="75">
        <v>26.043</v>
      </c>
      <c r="M82" s="89">
        <f t="shared" si="14"/>
        <v>3.092961640364013</v>
      </c>
    </row>
    <row r="83" spans="1:13" ht="12.75" customHeight="1">
      <c r="A83" s="108" t="s">
        <v>13</v>
      </c>
      <c r="B83" s="86" t="s">
        <v>265</v>
      </c>
      <c r="C83" s="85" t="s">
        <v>18</v>
      </c>
      <c r="D83" s="85" t="s">
        <v>217</v>
      </c>
      <c r="E83" s="85" t="s">
        <v>267</v>
      </c>
      <c r="F83" s="87" t="s">
        <v>273</v>
      </c>
      <c r="G83" s="230">
        <v>456.45</v>
      </c>
      <c r="H83" s="111">
        <v>0</v>
      </c>
      <c r="I83" s="88">
        <f t="shared" si="12"/>
        <v>0</v>
      </c>
      <c r="J83" s="75">
        <v>499</v>
      </c>
      <c r="K83" s="89">
        <f t="shared" si="13"/>
        <v>0.9147294589178356</v>
      </c>
      <c r="L83" s="75">
        <f>220.586-0.166</f>
        <v>220.42000000000002</v>
      </c>
      <c r="M83" s="89">
        <f t="shared" si="14"/>
        <v>2.070819344887034</v>
      </c>
    </row>
    <row r="84" spans="1:13" ht="12.75" customHeight="1">
      <c r="A84" s="108" t="s">
        <v>13</v>
      </c>
      <c r="B84" s="86" t="s">
        <v>265</v>
      </c>
      <c r="C84" s="85" t="s">
        <v>18</v>
      </c>
      <c r="D84" s="85" t="s">
        <v>220</v>
      </c>
      <c r="E84" s="85" t="s">
        <v>267</v>
      </c>
      <c r="F84" s="87" t="s">
        <v>275</v>
      </c>
      <c r="G84" s="230">
        <v>23.475</v>
      </c>
      <c r="H84" s="111">
        <v>0</v>
      </c>
      <c r="I84" s="88">
        <f t="shared" si="12"/>
        <v>0</v>
      </c>
      <c r="J84" s="75">
        <v>26.85</v>
      </c>
      <c r="K84" s="89">
        <f t="shared" si="13"/>
        <v>0.8743016759776536</v>
      </c>
      <c r="L84" s="75">
        <v>7.814</v>
      </c>
      <c r="M84" s="89">
        <f t="shared" si="14"/>
        <v>3.004223189147684</v>
      </c>
    </row>
    <row r="85" spans="1:13" ht="12.75" customHeight="1">
      <c r="A85" s="108" t="s">
        <v>13</v>
      </c>
      <c r="B85" s="86" t="s">
        <v>265</v>
      </c>
      <c r="C85" s="85" t="s">
        <v>18</v>
      </c>
      <c r="D85" s="85" t="s">
        <v>220</v>
      </c>
      <c r="E85" s="85" t="s">
        <v>267</v>
      </c>
      <c r="F85" s="87" t="s">
        <v>276</v>
      </c>
      <c r="G85" s="230">
        <v>133.025</v>
      </c>
      <c r="H85" s="111">
        <v>0</v>
      </c>
      <c r="I85" s="88">
        <f t="shared" si="12"/>
        <v>0</v>
      </c>
      <c r="J85" s="75">
        <v>152.15</v>
      </c>
      <c r="K85" s="89">
        <f t="shared" si="13"/>
        <v>0.8743016759776536</v>
      </c>
      <c r="L85" s="75">
        <f>63.4+8.127</f>
        <v>71.527</v>
      </c>
      <c r="M85" s="89">
        <f t="shared" si="14"/>
        <v>1.8597872132201827</v>
      </c>
    </row>
    <row r="86" spans="1:13" ht="12.75" customHeight="1">
      <c r="A86" s="108" t="s">
        <v>13</v>
      </c>
      <c r="B86" s="86" t="s">
        <v>265</v>
      </c>
      <c r="C86" s="85" t="s">
        <v>18</v>
      </c>
      <c r="D86" s="85" t="s">
        <v>222</v>
      </c>
      <c r="E86" s="85" t="s">
        <v>267</v>
      </c>
      <c r="F86" s="87" t="s">
        <v>277</v>
      </c>
      <c r="G86" s="230">
        <v>8.451</v>
      </c>
      <c r="H86" s="111">
        <v>0</v>
      </c>
      <c r="I86" s="88">
        <f t="shared" si="12"/>
        <v>0</v>
      </c>
      <c r="J86" s="75">
        <v>9.6</v>
      </c>
      <c r="K86" s="89">
        <f t="shared" si="13"/>
        <v>0.8803125</v>
      </c>
      <c r="L86" s="75">
        <v>2.815</v>
      </c>
      <c r="M86" s="89">
        <f t="shared" si="14"/>
        <v>3.002131438721137</v>
      </c>
    </row>
    <row r="87" spans="1:13" ht="12.75" customHeight="1">
      <c r="A87" s="108" t="s">
        <v>13</v>
      </c>
      <c r="B87" s="86" t="s">
        <v>265</v>
      </c>
      <c r="C87" s="85" t="s">
        <v>18</v>
      </c>
      <c r="D87" s="85" t="s">
        <v>222</v>
      </c>
      <c r="E87" s="85" t="s">
        <v>267</v>
      </c>
      <c r="F87" s="87" t="s">
        <v>278</v>
      </c>
      <c r="G87" s="230">
        <v>47.889</v>
      </c>
      <c r="H87" s="111">
        <v>0</v>
      </c>
      <c r="I87" s="88">
        <f t="shared" si="12"/>
        <v>0</v>
      </c>
      <c r="J87" s="75">
        <v>54.4</v>
      </c>
      <c r="K87" s="89">
        <f t="shared" si="13"/>
        <v>0.8803125</v>
      </c>
      <c r="L87" s="75">
        <f>22.819-1.9</f>
        <v>20.919</v>
      </c>
      <c r="M87" s="89">
        <f t="shared" si="14"/>
        <v>2.2892585687652374</v>
      </c>
    </row>
    <row r="88" spans="1:13" ht="12.75" customHeight="1">
      <c r="A88" s="108" t="s">
        <v>13</v>
      </c>
      <c r="B88" s="86" t="s">
        <v>265</v>
      </c>
      <c r="C88" s="85" t="s">
        <v>18</v>
      </c>
      <c r="D88" s="85" t="s">
        <v>227</v>
      </c>
      <c r="E88" s="85" t="s">
        <v>267</v>
      </c>
      <c r="F88" s="87" t="s">
        <v>650</v>
      </c>
      <c r="G88" s="230">
        <v>0</v>
      </c>
      <c r="H88" s="111">
        <v>0</v>
      </c>
      <c r="I88" s="88">
        <f t="shared" si="12"/>
        <v>0</v>
      </c>
      <c r="J88" s="75">
        <v>7.43</v>
      </c>
      <c r="K88" s="89">
        <f t="shared" si="13"/>
        <v>0</v>
      </c>
      <c r="L88" s="75">
        <v>0</v>
      </c>
      <c r="M88" s="89">
        <f t="shared" si="14"/>
        <v>0</v>
      </c>
    </row>
    <row r="89" spans="1:13" ht="12.75" customHeight="1">
      <c r="A89" s="108" t="s">
        <v>13</v>
      </c>
      <c r="B89" s="86" t="s">
        <v>265</v>
      </c>
      <c r="C89" s="85" t="s">
        <v>18</v>
      </c>
      <c r="D89" s="85" t="s">
        <v>227</v>
      </c>
      <c r="E89" s="85" t="s">
        <v>267</v>
      </c>
      <c r="F89" s="87" t="s">
        <v>651</v>
      </c>
      <c r="G89" s="230">
        <v>0</v>
      </c>
      <c r="H89" s="111">
        <v>0</v>
      </c>
      <c r="I89" s="88">
        <f t="shared" si="12"/>
        <v>0</v>
      </c>
      <c r="J89" s="75">
        <v>42.08</v>
      </c>
      <c r="K89" s="89">
        <f t="shared" si="13"/>
        <v>0</v>
      </c>
      <c r="L89" s="75">
        <v>0</v>
      </c>
      <c r="M89" s="89">
        <f t="shared" si="14"/>
        <v>0</v>
      </c>
    </row>
    <row r="90" spans="1:13" ht="12.75" customHeight="1">
      <c r="A90" s="108" t="s">
        <v>13</v>
      </c>
      <c r="B90" s="86" t="s">
        <v>265</v>
      </c>
      <c r="C90" s="85" t="s">
        <v>18</v>
      </c>
      <c r="D90" s="85" t="s">
        <v>176</v>
      </c>
      <c r="E90" s="85" t="s">
        <v>267</v>
      </c>
      <c r="F90" s="87" t="s">
        <v>652</v>
      </c>
      <c r="G90" s="230">
        <v>0</v>
      </c>
      <c r="H90" s="111">
        <v>0</v>
      </c>
      <c r="I90" s="88">
        <f t="shared" si="12"/>
        <v>0</v>
      </c>
      <c r="J90" s="75">
        <v>0.19</v>
      </c>
      <c r="K90" s="89">
        <f t="shared" si="13"/>
        <v>0</v>
      </c>
      <c r="L90" s="75">
        <v>0.194</v>
      </c>
      <c r="M90" s="89">
        <f t="shared" si="14"/>
        <v>0</v>
      </c>
    </row>
    <row r="91" spans="1:13" ht="12.75" customHeight="1">
      <c r="A91" s="108" t="s">
        <v>13</v>
      </c>
      <c r="B91" s="86" t="s">
        <v>265</v>
      </c>
      <c r="C91" s="85" t="s">
        <v>18</v>
      </c>
      <c r="D91" s="85" t="s">
        <v>176</v>
      </c>
      <c r="E91" s="85" t="s">
        <v>267</v>
      </c>
      <c r="F91" s="87" t="s">
        <v>653</v>
      </c>
      <c r="G91" s="230">
        <v>0</v>
      </c>
      <c r="H91" s="111">
        <v>0</v>
      </c>
      <c r="I91" s="88">
        <f t="shared" si="12"/>
        <v>0</v>
      </c>
      <c r="J91" s="75">
        <v>1.1</v>
      </c>
      <c r="K91" s="89">
        <f t="shared" si="13"/>
        <v>0</v>
      </c>
      <c r="L91" s="75">
        <v>1.101</v>
      </c>
      <c r="M91" s="89">
        <f t="shared" si="14"/>
        <v>0</v>
      </c>
    </row>
    <row r="92" spans="1:13" ht="12.75" customHeight="1">
      <c r="A92" s="108" t="s">
        <v>13</v>
      </c>
      <c r="B92" s="86" t="s">
        <v>265</v>
      </c>
      <c r="C92" s="85" t="s">
        <v>18</v>
      </c>
      <c r="D92" s="85" t="s">
        <v>429</v>
      </c>
      <c r="E92" s="85" t="s">
        <v>267</v>
      </c>
      <c r="F92" s="87" t="s">
        <v>430</v>
      </c>
      <c r="G92" s="230">
        <v>0</v>
      </c>
      <c r="H92" s="111">
        <v>0</v>
      </c>
      <c r="I92" s="88">
        <f t="shared" si="12"/>
        <v>0</v>
      </c>
      <c r="J92" s="75">
        <v>1.5</v>
      </c>
      <c r="K92" s="89">
        <f t="shared" si="13"/>
        <v>0</v>
      </c>
      <c r="L92" s="75">
        <v>1.086</v>
      </c>
      <c r="M92" s="89">
        <f t="shared" si="14"/>
        <v>0</v>
      </c>
    </row>
    <row r="93" spans="1:13" ht="12.75" customHeight="1">
      <c r="A93" s="108" t="s">
        <v>13</v>
      </c>
      <c r="B93" s="86" t="s">
        <v>265</v>
      </c>
      <c r="C93" s="85" t="s">
        <v>18</v>
      </c>
      <c r="D93" s="85" t="s">
        <v>189</v>
      </c>
      <c r="E93" s="85" t="s">
        <v>267</v>
      </c>
      <c r="F93" s="87" t="s">
        <v>656</v>
      </c>
      <c r="G93" s="230">
        <v>0</v>
      </c>
      <c r="H93" s="111">
        <v>0</v>
      </c>
      <c r="I93" s="88">
        <f t="shared" si="12"/>
        <v>0</v>
      </c>
      <c r="J93" s="75">
        <v>64.86</v>
      </c>
      <c r="K93" s="89">
        <f t="shared" si="13"/>
        <v>0</v>
      </c>
      <c r="L93" s="75">
        <v>57.468</v>
      </c>
      <c r="M93" s="89">
        <f t="shared" si="14"/>
        <v>0</v>
      </c>
    </row>
    <row r="94" spans="1:13" ht="12.75" customHeight="1">
      <c r="A94" s="108" t="s">
        <v>13</v>
      </c>
      <c r="B94" s="86" t="s">
        <v>265</v>
      </c>
      <c r="C94" s="85" t="s">
        <v>18</v>
      </c>
      <c r="D94" s="85" t="s">
        <v>189</v>
      </c>
      <c r="E94" s="85" t="s">
        <v>267</v>
      </c>
      <c r="F94" s="87" t="s">
        <v>657</v>
      </c>
      <c r="G94" s="230">
        <v>0</v>
      </c>
      <c r="H94" s="111">
        <v>0</v>
      </c>
      <c r="I94" s="88">
        <f t="shared" si="12"/>
        <v>0</v>
      </c>
      <c r="J94" s="75">
        <v>367.53</v>
      </c>
      <c r="K94" s="89">
        <f t="shared" si="13"/>
        <v>0</v>
      </c>
      <c r="L94" s="75">
        <v>325.427</v>
      </c>
      <c r="M94" s="89">
        <f t="shared" si="14"/>
        <v>0</v>
      </c>
    </row>
    <row r="95" spans="1:13" ht="12.75" customHeight="1">
      <c r="A95" s="108" t="s">
        <v>13</v>
      </c>
      <c r="B95" s="86" t="s">
        <v>265</v>
      </c>
      <c r="C95" s="85" t="s">
        <v>18</v>
      </c>
      <c r="D95" s="85" t="s">
        <v>236</v>
      </c>
      <c r="E95" s="85" t="s">
        <v>267</v>
      </c>
      <c r="F95" s="87" t="s">
        <v>280</v>
      </c>
      <c r="G95" s="230">
        <v>11.85</v>
      </c>
      <c r="H95" s="111">
        <v>0</v>
      </c>
      <c r="I95" s="88">
        <f t="shared" si="12"/>
        <v>0</v>
      </c>
      <c r="J95" s="75">
        <v>11.81</v>
      </c>
      <c r="K95" s="89">
        <f t="shared" si="13"/>
        <v>1.0033869602032175</v>
      </c>
      <c r="L95" s="75">
        <v>0</v>
      </c>
      <c r="M95" s="89">
        <f t="shared" si="14"/>
        <v>0</v>
      </c>
    </row>
    <row r="96" spans="1:13" ht="12.75" customHeight="1">
      <c r="A96" s="108" t="s">
        <v>13</v>
      </c>
      <c r="B96" s="86" t="s">
        <v>265</v>
      </c>
      <c r="C96" s="85" t="s">
        <v>18</v>
      </c>
      <c r="D96" s="85" t="s">
        <v>236</v>
      </c>
      <c r="E96" s="85" t="s">
        <v>267</v>
      </c>
      <c r="F96" s="87" t="s">
        <v>281</v>
      </c>
      <c r="G96" s="230">
        <v>67.15</v>
      </c>
      <c r="H96" s="111">
        <v>0</v>
      </c>
      <c r="I96" s="88">
        <f t="shared" si="12"/>
        <v>0</v>
      </c>
      <c r="J96" s="75">
        <v>66.94</v>
      </c>
      <c r="K96" s="89">
        <f t="shared" si="13"/>
        <v>1.0031371377352853</v>
      </c>
      <c r="L96" s="75">
        <v>0</v>
      </c>
      <c r="M96" s="89">
        <f t="shared" si="14"/>
        <v>0</v>
      </c>
    </row>
    <row r="97" spans="1:13" ht="12.75" customHeight="1">
      <c r="A97" s="108" t="s">
        <v>13</v>
      </c>
      <c r="B97" s="86" t="s">
        <v>265</v>
      </c>
      <c r="C97" s="85" t="s">
        <v>18</v>
      </c>
      <c r="D97" s="85" t="s">
        <v>191</v>
      </c>
      <c r="E97" s="85" t="s">
        <v>267</v>
      </c>
      <c r="F97" s="87" t="s">
        <v>654</v>
      </c>
      <c r="G97" s="230">
        <v>0</v>
      </c>
      <c r="H97" s="111">
        <v>0</v>
      </c>
      <c r="I97" s="88">
        <f t="shared" si="12"/>
        <v>0</v>
      </c>
      <c r="J97" s="75">
        <v>0.25</v>
      </c>
      <c r="K97" s="89">
        <f t="shared" si="13"/>
        <v>0</v>
      </c>
      <c r="L97" s="75">
        <v>-6.189</v>
      </c>
      <c r="M97" s="89">
        <f t="shared" si="14"/>
        <v>0</v>
      </c>
    </row>
    <row r="98" spans="1:13" ht="12.75" customHeight="1">
      <c r="A98" s="108" t="s">
        <v>13</v>
      </c>
      <c r="B98" s="86" t="s">
        <v>265</v>
      </c>
      <c r="C98" s="85" t="s">
        <v>18</v>
      </c>
      <c r="D98" s="85" t="s">
        <v>191</v>
      </c>
      <c r="E98" s="85" t="s">
        <v>267</v>
      </c>
      <c r="F98" s="87" t="s">
        <v>655</v>
      </c>
      <c r="G98" s="230">
        <v>0</v>
      </c>
      <c r="H98" s="111">
        <v>0</v>
      </c>
      <c r="I98" s="88">
        <f t="shared" si="12"/>
        <v>0</v>
      </c>
      <c r="J98" s="75">
        <v>1.41</v>
      </c>
      <c r="K98" s="89">
        <f t="shared" si="13"/>
        <v>0</v>
      </c>
      <c r="L98" s="75">
        <v>32.246</v>
      </c>
      <c r="M98" s="89">
        <f t="shared" si="14"/>
        <v>0</v>
      </c>
    </row>
    <row r="99" spans="1:13" ht="12.75" customHeight="1">
      <c r="A99" s="108" t="s">
        <v>13</v>
      </c>
      <c r="B99" s="86" t="s">
        <v>265</v>
      </c>
      <c r="C99" s="85" t="s">
        <v>18</v>
      </c>
      <c r="D99" s="85" t="s">
        <v>449</v>
      </c>
      <c r="E99" s="85" t="s">
        <v>267</v>
      </c>
      <c r="F99" s="87" t="s">
        <v>658</v>
      </c>
      <c r="G99" s="230">
        <v>0</v>
      </c>
      <c r="H99" s="111">
        <v>0</v>
      </c>
      <c r="I99" s="88">
        <f t="shared" si="12"/>
        <v>0</v>
      </c>
      <c r="J99" s="75">
        <v>2.16</v>
      </c>
      <c r="K99" s="89">
        <f t="shared" si="13"/>
        <v>0</v>
      </c>
      <c r="L99" s="75">
        <v>0</v>
      </c>
      <c r="M99" s="89">
        <f t="shared" si="14"/>
        <v>0</v>
      </c>
    </row>
    <row r="100" spans="1:13" ht="12.75" customHeight="1" thickBot="1">
      <c r="A100" s="108" t="s">
        <v>13</v>
      </c>
      <c r="B100" s="86" t="s">
        <v>265</v>
      </c>
      <c r="C100" s="85" t="s">
        <v>18</v>
      </c>
      <c r="D100" s="85" t="s">
        <v>449</v>
      </c>
      <c r="E100" s="85" t="s">
        <v>267</v>
      </c>
      <c r="F100" s="87" t="s">
        <v>659</v>
      </c>
      <c r="G100" s="230">
        <v>0</v>
      </c>
      <c r="H100" s="111">
        <v>0</v>
      </c>
      <c r="I100" s="88">
        <f t="shared" si="12"/>
        <v>0</v>
      </c>
      <c r="J100" s="75">
        <v>12.24</v>
      </c>
      <c r="K100" s="89">
        <f t="shared" si="13"/>
        <v>0</v>
      </c>
      <c r="L100" s="75">
        <v>0</v>
      </c>
      <c r="M100" s="89">
        <f t="shared" si="14"/>
        <v>0</v>
      </c>
    </row>
    <row r="101" spans="1:15" ht="12.75" customHeight="1">
      <c r="A101" s="109"/>
      <c r="B101" s="91" t="s">
        <v>11</v>
      </c>
      <c r="C101" s="90" t="s">
        <v>18</v>
      </c>
      <c r="D101" s="90"/>
      <c r="E101" s="90"/>
      <c r="F101" s="92"/>
      <c r="G101" s="231">
        <f>SUM(G80:G100)</f>
        <v>917.84</v>
      </c>
      <c r="H101" s="93">
        <f>SUM(H80:H100)</f>
        <v>0</v>
      </c>
      <c r="I101" s="94">
        <f t="shared" si="12"/>
        <v>0</v>
      </c>
      <c r="J101" s="93">
        <f>SUM(J80:J100)</f>
        <v>1537.5000000000002</v>
      </c>
      <c r="K101" s="94">
        <f t="shared" si="13"/>
        <v>0.5969691056910569</v>
      </c>
      <c r="L101" s="93">
        <f>SUM(L80:L100)</f>
        <v>828.7620000000002</v>
      </c>
      <c r="M101" s="94">
        <f t="shared" si="14"/>
        <v>1.1074832098962064</v>
      </c>
      <c r="O101" s="80"/>
    </row>
    <row r="102" spans="9:13" ht="12.75" customHeight="1">
      <c r="I102" s="88"/>
      <c r="K102" s="89"/>
      <c r="M102" s="89"/>
    </row>
    <row r="103" spans="1:13" ht="12.75" customHeight="1">
      <c r="A103" s="108" t="s">
        <v>13</v>
      </c>
      <c r="B103" s="86" t="s">
        <v>270</v>
      </c>
      <c r="C103" s="85" t="s">
        <v>18</v>
      </c>
      <c r="D103" s="85" t="s">
        <v>266</v>
      </c>
      <c r="E103" s="85" t="s">
        <v>271</v>
      </c>
      <c r="F103" s="87" t="s">
        <v>787</v>
      </c>
      <c r="G103" s="230">
        <v>9750</v>
      </c>
      <c r="H103" s="111">
        <v>9980</v>
      </c>
      <c r="I103" s="88">
        <f aca="true" t="shared" si="15" ref="I103:I123">IF(H103=0,0,$G103/H103)</f>
        <v>0.9769539078156313</v>
      </c>
      <c r="J103" s="75">
        <v>10028.07</v>
      </c>
      <c r="K103" s="89">
        <f aca="true" t="shared" si="16" ref="K103:K123">IF(J103=0,0,$G103/J103)</f>
        <v>0.9722708357640104</v>
      </c>
      <c r="L103" s="75">
        <v>7867.349</v>
      </c>
      <c r="M103" s="89">
        <f aca="true" t="shared" si="17" ref="M103:M123">IF(L103=0,0,$G103/L103)</f>
        <v>1.2392992862017433</v>
      </c>
    </row>
    <row r="104" spans="1:13" ht="12.75" customHeight="1">
      <c r="A104" s="108" t="s">
        <v>13</v>
      </c>
      <c r="B104" s="86" t="s">
        <v>270</v>
      </c>
      <c r="C104" s="85" t="s">
        <v>18</v>
      </c>
      <c r="D104" s="85" t="s">
        <v>217</v>
      </c>
      <c r="E104" s="85" t="s">
        <v>271</v>
      </c>
      <c r="F104" s="87" t="s">
        <v>274</v>
      </c>
      <c r="G104" s="230">
        <v>250</v>
      </c>
      <c r="H104" s="111">
        <v>838</v>
      </c>
      <c r="I104" s="88">
        <f t="shared" si="15"/>
        <v>0.29832935560859186</v>
      </c>
      <c r="J104" s="75">
        <v>250</v>
      </c>
      <c r="K104" s="89">
        <f t="shared" si="16"/>
        <v>1</v>
      </c>
      <c r="L104" s="75">
        <v>268.565</v>
      </c>
      <c r="M104" s="89">
        <f t="shared" si="17"/>
        <v>0.9308733453726286</v>
      </c>
    </row>
    <row r="105" spans="1:13" ht="12.75" customHeight="1">
      <c r="A105" s="108" t="s">
        <v>13</v>
      </c>
      <c r="B105" s="86" t="s">
        <v>270</v>
      </c>
      <c r="C105" s="85" t="s">
        <v>18</v>
      </c>
      <c r="D105" s="85" t="s">
        <v>220</v>
      </c>
      <c r="E105" s="85" t="s">
        <v>271</v>
      </c>
      <c r="F105" s="87" t="s">
        <v>251</v>
      </c>
      <c r="G105" s="230">
        <v>2500</v>
      </c>
      <c r="H105" s="111">
        <v>2705</v>
      </c>
      <c r="I105" s="88">
        <f t="shared" si="15"/>
        <v>0.9242144177449169</v>
      </c>
      <c r="J105" s="75">
        <v>2569.77</v>
      </c>
      <c r="K105" s="89">
        <f t="shared" si="16"/>
        <v>0.9728497102853563</v>
      </c>
      <c r="L105" s="75">
        <v>2025.984</v>
      </c>
      <c r="M105" s="89">
        <f t="shared" si="17"/>
        <v>1.233968284053576</v>
      </c>
    </row>
    <row r="106" spans="1:13" ht="12.75" customHeight="1">
      <c r="A106" s="108" t="s">
        <v>13</v>
      </c>
      <c r="B106" s="86" t="s">
        <v>270</v>
      </c>
      <c r="C106" s="85" t="s">
        <v>18</v>
      </c>
      <c r="D106" s="85" t="s">
        <v>222</v>
      </c>
      <c r="E106" s="85" t="s">
        <v>271</v>
      </c>
      <c r="F106" s="87" t="s">
        <v>252</v>
      </c>
      <c r="G106" s="230">
        <v>900</v>
      </c>
      <c r="H106" s="111">
        <v>973</v>
      </c>
      <c r="I106" s="88">
        <f t="shared" si="15"/>
        <v>0.9249743062692704</v>
      </c>
      <c r="J106" s="75">
        <v>924.76</v>
      </c>
      <c r="K106" s="89">
        <f t="shared" si="16"/>
        <v>0.9732254855313811</v>
      </c>
      <c r="L106" s="75">
        <v>730.191</v>
      </c>
      <c r="M106" s="89">
        <f t="shared" si="17"/>
        <v>1.2325542221144878</v>
      </c>
    </row>
    <row r="107" spans="1:13" ht="12.75" customHeight="1">
      <c r="A107" s="108" t="s">
        <v>13</v>
      </c>
      <c r="B107" s="86" t="s">
        <v>270</v>
      </c>
      <c r="C107" s="85" t="s">
        <v>18</v>
      </c>
      <c r="D107" s="85" t="s">
        <v>211</v>
      </c>
      <c r="E107" s="85" t="s">
        <v>271</v>
      </c>
      <c r="F107" s="87" t="s">
        <v>660</v>
      </c>
      <c r="G107" s="230">
        <v>0</v>
      </c>
      <c r="H107" s="111">
        <v>4</v>
      </c>
      <c r="I107" s="88">
        <f t="shared" si="15"/>
        <v>0</v>
      </c>
      <c r="J107" s="75">
        <v>4</v>
      </c>
      <c r="K107" s="89">
        <f t="shared" si="16"/>
        <v>0</v>
      </c>
      <c r="L107" s="75">
        <v>0</v>
      </c>
      <c r="M107" s="89">
        <f t="shared" si="17"/>
        <v>0</v>
      </c>
    </row>
    <row r="108" spans="1:13" ht="12.75" customHeight="1">
      <c r="A108" s="108" t="s">
        <v>13</v>
      </c>
      <c r="B108" s="86" t="s">
        <v>270</v>
      </c>
      <c r="C108" s="85" t="s">
        <v>18</v>
      </c>
      <c r="D108" s="85" t="s">
        <v>253</v>
      </c>
      <c r="E108" s="85" t="s">
        <v>271</v>
      </c>
      <c r="F108" s="87" t="s">
        <v>254</v>
      </c>
      <c r="G108" s="230">
        <v>20</v>
      </c>
      <c r="H108" s="111">
        <v>20</v>
      </c>
      <c r="I108" s="88">
        <f t="shared" si="15"/>
        <v>1</v>
      </c>
      <c r="J108" s="75">
        <v>20</v>
      </c>
      <c r="K108" s="89">
        <f t="shared" si="16"/>
        <v>1</v>
      </c>
      <c r="L108" s="75">
        <v>20.913</v>
      </c>
      <c r="M108" s="89">
        <f t="shared" si="17"/>
        <v>0.9563429445799263</v>
      </c>
    </row>
    <row r="109" spans="1:13" ht="12.75" customHeight="1">
      <c r="A109" s="108" t="s">
        <v>13</v>
      </c>
      <c r="B109" s="86" t="s">
        <v>270</v>
      </c>
      <c r="C109" s="85" t="s">
        <v>18</v>
      </c>
      <c r="D109" s="85" t="s">
        <v>227</v>
      </c>
      <c r="E109" s="85" t="s">
        <v>271</v>
      </c>
      <c r="F109" s="87" t="s">
        <v>228</v>
      </c>
      <c r="G109" s="230">
        <f>190-40</f>
        <v>150</v>
      </c>
      <c r="H109" s="111">
        <v>70</v>
      </c>
      <c r="I109" s="88">
        <f t="shared" si="15"/>
        <v>2.142857142857143</v>
      </c>
      <c r="J109" s="75">
        <v>100</v>
      </c>
      <c r="K109" s="89">
        <f t="shared" si="16"/>
        <v>1.5</v>
      </c>
      <c r="L109" s="75">
        <v>110</v>
      </c>
      <c r="M109" s="89">
        <f t="shared" si="17"/>
        <v>1.3636363636363635</v>
      </c>
    </row>
    <row r="110" spans="1:13" ht="12.75" customHeight="1">
      <c r="A110" s="108" t="s">
        <v>13</v>
      </c>
      <c r="B110" s="86" t="s">
        <v>270</v>
      </c>
      <c r="C110" s="85" t="s">
        <v>18</v>
      </c>
      <c r="D110" s="85" t="s">
        <v>176</v>
      </c>
      <c r="E110" s="85" t="s">
        <v>271</v>
      </c>
      <c r="F110" s="87" t="s">
        <v>229</v>
      </c>
      <c r="G110" s="230">
        <v>65</v>
      </c>
      <c r="H110" s="111">
        <v>15</v>
      </c>
      <c r="I110" s="88">
        <f t="shared" si="15"/>
        <v>4.333333333333333</v>
      </c>
      <c r="J110" s="75">
        <v>65</v>
      </c>
      <c r="K110" s="89">
        <f t="shared" si="16"/>
        <v>1</v>
      </c>
      <c r="L110" s="75">
        <f>164.049-52.384</f>
        <v>111.665</v>
      </c>
      <c r="M110" s="89">
        <f t="shared" si="17"/>
        <v>0.5820982402722429</v>
      </c>
    </row>
    <row r="111" spans="1:13" ht="12.75" customHeight="1">
      <c r="A111" s="108" t="s">
        <v>13</v>
      </c>
      <c r="B111" s="86" t="s">
        <v>270</v>
      </c>
      <c r="C111" s="85" t="s">
        <v>18</v>
      </c>
      <c r="D111" s="85" t="s">
        <v>233</v>
      </c>
      <c r="E111" s="85" t="s">
        <v>271</v>
      </c>
      <c r="F111" s="87" t="s">
        <v>234</v>
      </c>
      <c r="G111" s="230">
        <v>50</v>
      </c>
      <c r="H111" s="111">
        <v>50</v>
      </c>
      <c r="I111" s="88">
        <f t="shared" si="15"/>
        <v>1</v>
      </c>
      <c r="J111" s="75">
        <v>140</v>
      </c>
      <c r="K111" s="89">
        <f t="shared" si="16"/>
        <v>0.35714285714285715</v>
      </c>
      <c r="L111" s="75">
        <v>115.074</v>
      </c>
      <c r="M111" s="89">
        <f t="shared" si="17"/>
        <v>0.43450301545092723</v>
      </c>
    </row>
    <row r="112" spans="1:13" ht="12.75" customHeight="1">
      <c r="A112" s="108" t="s">
        <v>13</v>
      </c>
      <c r="B112" s="86" t="s">
        <v>270</v>
      </c>
      <c r="C112" s="85" t="s">
        <v>18</v>
      </c>
      <c r="D112" s="85" t="s">
        <v>187</v>
      </c>
      <c r="E112" s="85" t="s">
        <v>271</v>
      </c>
      <c r="F112" s="87" t="s">
        <v>235</v>
      </c>
      <c r="G112" s="230">
        <v>40</v>
      </c>
      <c r="H112" s="111">
        <v>36</v>
      </c>
      <c r="I112" s="88">
        <f t="shared" si="15"/>
        <v>1.1111111111111112</v>
      </c>
      <c r="J112" s="75">
        <v>36</v>
      </c>
      <c r="K112" s="89">
        <f t="shared" si="16"/>
        <v>1.1111111111111112</v>
      </c>
      <c r="L112" s="75">
        <f>307.198-236</f>
        <v>71.19799999999998</v>
      </c>
      <c r="M112" s="89">
        <f t="shared" si="17"/>
        <v>0.5618135340880364</v>
      </c>
    </row>
    <row r="113" spans="1:13" ht="12.75" customHeight="1">
      <c r="A113" s="108" t="s">
        <v>13</v>
      </c>
      <c r="B113" s="86" t="s">
        <v>270</v>
      </c>
      <c r="C113" s="85" t="s">
        <v>18</v>
      </c>
      <c r="D113" s="85" t="s">
        <v>189</v>
      </c>
      <c r="E113" s="85" t="s">
        <v>271</v>
      </c>
      <c r="F113" s="87" t="s">
        <v>279</v>
      </c>
      <c r="G113" s="230">
        <v>100</v>
      </c>
      <c r="H113" s="111">
        <v>738</v>
      </c>
      <c r="I113" s="88">
        <f t="shared" si="15"/>
        <v>0.13550135501355012</v>
      </c>
      <c r="J113" s="75">
        <v>100</v>
      </c>
      <c r="K113" s="89">
        <f t="shared" si="16"/>
        <v>1</v>
      </c>
      <c r="L113" s="75">
        <v>32.413</v>
      </c>
      <c r="M113" s="89">
        <f t="shared" si="17"/>
        <v>3.0851818714713235</v>
      </c>
    </row>
    <row r="114" spans="1:13" ht="12.75" customHeight="1">
      <c r="A114" s="108" t="s">
        <v>13</v>
      </c>
      <c r="B114" s="86" t="s">
        <v>270</v>
      </c>
      <c r="C114" s="85" t="s">
        <v>18</v>
      </c>
      <c r="D114" s="85" t="s">
        <v>236</v>
      </c>
      <c r="E114" s="85" t="s">
        <v>271</v>
      </c>
      <c r="F114" s="87" t="s">
        <v>255</v>
      </c>
      <c r="G114" s="230">
        <v>305</v>
      </c>
      <c r="H114" s="111">
        <v>305</v>
      </c>
      <c r="I114" s="88">
        <f t="shared" si="15"/>
        <v>1</v>
      </c>
      <c r="J114" s="75">
        <v>133.99</v>
      </c>
      <c r="K114" s="89">
        <f t="shared" si="16"/>
        <v>2.2762892753190536</v>
      </c>
      <c r="L114" s="75">
        <v>109.727</v>
      </c>
      <c r="M114" s="89">
        <f t="shared" si="17"/>
        <v>2.7796257985728214</v>
      </c>
    </row>
    <row r="115" spans="1:13" ht="12.75" customHeight="1">
      <c r="A115" s="108" t="s">
        <v>13</v>
      </c>
      <c r="B115" s="86" t="s">
        <v>270</v>
      </c>
      <c r="C115" s="85" t="s">
        <v>18</v>
      </c>
      <c r="D115" s="85" t="s">
        <v>191</v>
      </c>
      <c r="E115" s="85" t="s">
        <v>271</v>
      </c>
      <c r="F115" s="87" t="s">
        <v>282</v>
      </c>
      <c r="G115" s="230">
        <f>150-30</f>
        <v>120</v>
      </c>
      <c r="H115" s="111">
        <v>0</v>
      </c>
      <c r="I115" s="88">
        <f t="shared" si="15"/>
        <v>0</v>
      </c>
      <c r="J115" s="75">
        <v>60</v>
      </c>
      <c r="K115" s="89">
        <f t="shared" si="16"/>
        <v>2</v>
      </c>
      <c r="L115" s="75">
        <v>87.167</v>
      </c>
      <c r="M115" s="89">
        <f t="shared" si="17"/>
        <v>1.3766677756490415</v>
      </c>
    </row>
    <row r="116" spans="1:13" ht="12.75" customHeight="1">
      <c r="A116" s="108" t="s">
        <v>13</v>
      </c>
      <c r="B116" s="86" t="s">
        <v>270</v>
      </c>
      <c r="C116" s="85" t="s">
        <v>18</v>
      </c>
      <c r="D116" s="85" t="s">
        <v>193</v>
      </c>
      <c r="E116" s="85" t="s">
        <v>271</v>
      </c>
      <c r="F116" s="87" t="s">
        <v>283</v>
      </c>
      <c r="G116" s="230">
        <v>80</v>
      </c>
      <c r="H116" s="111">
        <v>30</v>
      </c>
      <c r="I116" s="88">
        <f t="shared" si="15"/>
        <v>2.6666666666666665</v>
      </c>
      <c r="J116" s="75">
        <v>80</v>
      </c>
      <c r="K116" s="89">
        <f t="shared" si="16"/>
        <v>1</v>
      </c>
      <c r="L116" s="75">
        <v>59.361</v>
      </c>
      <c r="M116" s="89">
        <f t="shared" si="17"/>
        <v>1.3476861912703628</v>
      </c>
    </row>
    <row r="117" spans="1:13" ht="12.75" customHeight="1">
      <c r="A117" s="108" t="s">
        <v>13</v>
      </c>
      <c r="B117" s="86" t="s">
        <v>270</v>
      </c>
      <c r="C117" s="85" t="s">
        <v>18</v>
      </c>
      <c r="D117" s="85" t="s">
        <v>256</v>
      </c>
      <c r="E117" s="85" t="s">
        <v>271</v>
      </c>
      <c r="F117" s="87" t="s">
        <v>257</v>
      </c>
      <c r="G117" s="230">
        <v>150</v>
      </c>
      <c r="H117" s="111">
        <v>20</v>
      </c>
      <c r="I117" s="88">
        <f t="shared" si="15"/>
        <v>7.5</v>
      </c>
      <c r="J117" s="75">
        <v>90</v>
      </c>
      <c r="K117" s="89">
        <f t="shared" si="16"/>
        <v>1.6666666666666667</v>
      </c>
      <c r="L117" s="75">
        <v>83.335</v>
      </c>
      <c r="M117" s="89">
        <f t="shared" si="17"/>
        <v>1.7999640007199857</v>
      </c>
    </row>
    <row r="118" spans="1:13" ht="12.75" customHeight="1">
      <c r="A118" s="108" t="s">
        <v>13</v>
      </c>
      <c r="B118" s="86" t="s">
        <v>270</v>
      </c>
      <c r="C118" s="85" t="s">
        <v>18</v>
      </c>
      <c r="D118" s="85" t="s">
        <v>195</v>
      </c>
      <c r="E118" s="85" t="s">
        <v>271</v>
      </c>
      <c r="F118" s="87" t="s">
        <v>258</v>
      </c>
      <c r="G118" s="230">
        <v>10</v>
      </c>
      <c r="H118" s="111">
        <v>3</v>
      </c>
      <c r="I118" s="88">
        <f t="shared" si="15"/>
        <v>3.3333333333333335</v>
      </c>
      <c r="J118" s="75">
        <v>6</v>
      </c>
      <c r="K118" s="89">
        <f t="shared" si="16"/>
        <v>1.6666666666666667</v>
      </c>
      <c r="L118" s="75">
        <v>1.55</v>
      </c>
      <c r="M118" s="89">
        <f t="shared" si="17"/>
        <v>6.451612903225806</v>
      </c>
    </row>
    <row r="119" spans="1:13" ht="12.75" customHeight="1">
      <c r="A119" s="108" t="s">
        <v>13</v>
      </c>
      <c r="B119" s="86" t="s">
        <v>270</v>
      </c>
      <c r="C119" s="85" t="s">
        <v>18</v>
      </c>
      <c r="D119" s="85" t="s">
        <v>259</v>
      </c>
      <c r="E119" s="85" t="s">
        <v>271</v>
      </c>
      <c r="F119" s="87" t="s">
        <v>260</v>
      </c>
      <c r="G119" s="230">
        <v>10</v>
      </c>
      <c r="H119" s="111">
        <v>0</v>
      </c>
      <c r="I119" s="88">
        <f t="shared" si="15"/>
        <v>0</v>
      </c>
      <c r="J119" s="75">
        <v>0</v>
      </c>
      <c r="K119" s="89">
        <f t="shared" si="16"/>
        <v>0</v>
      </c>
      <c r="L119" s="75">
        <v>0</v>
      </c>
      <c r="M119" s="89">
        <f t="shared" si="17"/>
        <v>0</v>
      </c>
    </row>
    <row r="120" spans="1:13" ht="12.75" customHeight="1">
      <c r="A120" s="108" t="s">
        <v>13</v>
      </c>
      <c r="B120" s="86" t="s">
        <v>270</v>
      </c>
      <c r="C120" s="85" t="s">
        <v>18</v>
      </c>
      <c r="D120" s="85" t="s">
        <v>261</v>
      </c>
      <c r="E120" s="85" t="s">
        <v>271</v>
      </c>
      <c r="F120" s="87" t="s">
        <v>262</v>
      </c>
      <c r="G120" s="230">
        <v>5</v>
      </c>
      <c r="H120" s="111">
        <v>5</v>
      </c>
      <c r="I120" s="88">
        <f t="shared" si="15"/>
        <v>1</v>
      </c>
      <c r="J120" s="75">
        <v>5</v>
      </c>
      <c r="K120" s="89">
        <f t="shared" si="16"/>
        <v>1</v>
      </c>
      <c r="L120" s="75">
        <v>1.482</v>
      </c>
      <c r="M120" s="89">
        <f t="shared" si="17"/>
        <v>3.3738191632928474</v>
      </c>
    </row>
    <row r="121" spans="1:13" ht="12.75" customHeight="1">
      <c r="A121" s="108" t="s">
        <v>13</v>
      </c>
      <c r="B121" s="86" t="s">
        <v>270</v>
      </c>
      <c r="C121" s="85" t="s">
        <v>18</v>
      </c>
      <c r="D121" s="85" t="s">
        <v>505</v>
      </c>
      <c r="E121" s="85" t="s">
        <v>271</v>
      </c>
      <c r="F121" s="87" t="s">
        <v>593</v>
      </c>
      <c r="G121" s="230">
        <v>0</v>
      </c>
      <c r="H121" s="111">
        <v>2</v>
      </c>
      <c r="I121" s="88">
        <f t="shared" si="15"/>
        <v>0</v>
      </c>
      <c r="J121" s="75">
        <v>2</v>
      </c>
      <c r="K121" s="89">
        <f t="shared" si="16"/>
        <v>0</v>
      </c>
      <c r="L121" s="75">
        <v>0</v>
      </c>
      <c r="M121" s="89">
        <f t="shared" si="17"/>
        <v>0</v>
      </c>
    </row>
    <row r="122" spans="1:13" ht="12.75" customHeight="1" thickBot="1">
      <c r="A122" s="108" t="s">
        <v>13</v>
      </c>
      <c r="B122" s="86" t="s">
        <v>270</v>
      </c>
      <c r="C122" s="85" t="s">
        <v>18</v>
      </c>
      <c r="D122" s="85" t="s">
        <v>295</v>
      </c>
      <c r="E122" s="85" t="s">
        <v>271</v>
      </c>
      <c r="F122" s="87" t="s">
        <v>661</v>
      </c>
      <c r="G122" s="230">
        <v>0</v>
      </c>
      <c r="H122" s="111">
        <v>0</v>
      </c>
      <c r="I122" s="88">
        <f t="shared" si="15"/>
        <v>0</v>
      </c>
      <c r="J122" s="75">
        <v>0</v>
      </c>
      <c r="K122" s="89">
        <f t="shared" si="16"/>
        <v>0</v>
      </c>
      <c r="L122" s="75">
        <v>1.5</v>
      </c>
      <c r="M122" s="89">
        <f t="shared" si="17"/>
        <v>0</v>
      </c>
    </row>
    <row r="123" spans="1:15" ht="12.75" customHeight="1">
      <c r="A123" s="109"/>
      <c r="B123" s="91" t="s">
        <v>11</v>
      </c>
      <c r="C123" s="90" t="s">
        <v>18</v>
      </c>
      <c r="D123" s="90"/>
      <c r="E123" s="90"/>
      <c r="F123" s="92"/>
      <c r="G123" s="231">
        <f>SUM(G103:G122)</f>
        <v>14505</v>
      </c>
      <c r="H123" s="93">
        <f>SUM(H103:H122)</f>
        <v>15794</v>
      </c>
      <c r="I123" s="94">
        <f t="shared" si="15"/>
        <v>0.9183867291376472</v>
      </c>
      <c r="J123" s="93">
        <f>SUM(J103:J122)</f>
        <v>14614.59</v>
      </c>
      <c r="K123" s="94">
        <f t="shared" si="16"/>
        <v>0.9925013291512113</v>
      </c>
      <c r="L123" s="93">
        <f>SUM(L103:L122)</f>
        <v>11697.474000000002</v>
      </c>
      <c r="M123" s="94">
        <f t="shared" si="17"/>
        <v>1.2400113050048238</v>
      </c>
      <c r="O123" s="80"/>
    </row>
    <row r="124" spans="9:13" ht="12.75" customHeight="1">
      <c r="I124" s="88"/>
      <c r="K124" s="89"/>
      <c r="M124" s="89"/>
    </row>
    <row r="125" spans="1:15" ht="12.75" customHeight="1">
      <c r="A125" s="107"/>
      <c r="B125" s="95" t="s">
        <v>24</v>
      </c>
      <c r="C125" s="81"/>
      <c r="D125" s="81"/>
      <c r="E125" s="81"/>
      <c r="F125" s="96"/>
      <c r="G125" s="232">
        <f>SUM(G34,G59,G78,G101,G123)</f>
        <v>20102.84</v>
      </c>
      <c r="H125" s="103">
        <f>SUM(H34,H59,H78,H101,H123)</f>
        <v>20474</v>
      </c>
      <c r="I125" s="98">
        <f>IF(H125=0,0,$G125/H125)</f>
        <v>0.9818716420826414</v>
      </c>
      <c r="J125" s="97">
        <f>SUM(J34,J59,J78,J101,J123)</f>
        <v>20844.1</v>
      </c>
      <c r="K125" s="99">
        <f>IF(J125=0,0,$G125/J125)</f>
        <v>0.9644378984940584</v>
      </c>
      <c r="L125" s="97">
        <f>SUM(L34,L59,L78,L101,L123)</f>
        <v>15945.938000000002</v>
      </c>
      <c r="M125" s="99">
        <f>IF(L125=0,0,$G125/L125)</f>
        <v>1.2606872044780306</v>
      </c>
      <c r="O125" s="80"/>
    </row>
    <row r="126" spans="9:13" ht="12.75" customHeight="1">
      <c r="I126" s="88"/>
      <c r="K126" s="89"/>
      <c r="M126" s="89"/>
    </row>
    <row r="127" spans="9:13" ht="12.75" customHeight="1">
      <c r="I127" s="88"/>
      <c r="K127" s="89"/>
      <c r="M127" s="89"/>
    </row>
    <row r="128" spans="1:13" ht="12.75" customHeight="1">
      <c r="A128" s="108" t="s">
        <v>25</v>
      </c>
      <c r="B128" s="86" t="s">
        <v>284</v>
      </c>
      <c r="C128" s="85" t="s">
        <v>18</v>
      </c>
      <c r="D128" s="85" t="s">
        <v>266</v>
      </c>
      <c r="E128" s="85" t="s">
        <v>285</v>
      </c>
      <c r="F128" s="87" t="s">
        <v>790</v>
      </c>
      <c r="G128" s="230">
        <v>7909</v>
      </c>
      <c r="H128" s="111">
        <v>7274</v>
      </c>
      <c r="I128" s="88">
        <f aca="true" t="shared" si="18" ref="I128:I144">IF(H128=0,0,$G128/H128)</f>
        <v>1.0872972229859774</v>
      </c>
      <c r="J128" s="75">
        <v>7403.4</v>
      </c>
      <c r="K128" s="89">
        <f aca="true" t="shared" si="19" ref="K128:K144">IF(J128=0,0,$G128/J128)</f>
        <v>1.0682929464840478</v>
      </c>
      <c r="L128" s="75">
        <v>6239.649</v>
      </c>
      <c r="M128" s="89">
        <f aca="true" t="shared" si="20" ref="M128:M144">IF(L128=0,0,$G128/L128)</f>
        <v>1.2675392478006375</v>
      </c>
    </row>
    <row r="129" spans="1:13" ht="12.75" customHeight="1">
      <c r="A129" s="108" t="s">
        <v>25</v>
      </c>
      <c r="B129" s="86" t="s">
        <v>284</v>
      </c>
      <c r="C129" s="85" t="s">
        <v>18</v>
      </c>
      <c r="D129" s="85" t="s">
        <v>220</v>
      </c>
      <c r="E129" s="85" t="s">
        <v>285</v>
      </c>
      <c r="F129" s="87" t="s">
        <v>286</v>
      </c>
      <c r="G129" s="230">
        <v>1978</v>
      </c>
      <c r="H129" s="111">
        <v>1818</v>
      </c>
      <c r="I129" s="88">
        <f t="shared" si="18"/>
        <v>1.0880088008800881</v>
      </c>
      <c r="J129" s="75">
        <v>1850.35</v>
      </c>
      <c r="K129" s="89">
        <f t="shared" si="19"/>
        <v>1.0689869484151648</v>
      </c>
      <c r="L129" s="75">
        <v>1546.152</v>
      </c>
      <c r="M129" s="89">
        <f t="shared" si="20"/>
        <v>1.2793050101154348</v>
      </c>
    </row>
    <row r="130" spans="1:13" ht="12.75" customHeight="1">
      <c r="A130" s="108" t="s">
        <v>25</v>
      </c>
      <c r="B130" s="86" t="s">
        <v>284</v>
      </c>
      <c r="C130" s="85" t="s">
        <v>18</v>
      </c>
      <c r="D130" s="85" t="s">
        <v>222</v>
      </c>
      <c r="E130" s="85" t="s">
        <v>285</v>
      </c>
      <c r="F130" s="87" t="s">
        <v>287</v>
      </c>
      <c r="G130" s="230">
        <v>712</v>
      </c>
      <c r="H130" s="111">
        <v>655</v>
      </c>
      <c r="I130" s="88">
        <f t="shared" si="18"/>
        <v>1.0870229007633587</v>
      </c>
      <c r="J130" s="75">
        <v>666.65</v>
      </c>
      <c r="K130" s="89">
        <f t="shared" si="19"/>
        <v>1.0680267006675168</v>
      </c>
      <c r="L130" s="75">
        <v>556.615</v>
      </c>
      <c r="M130" s="89">
        <f t="shared" si="20"/>
        <v>1.2791606406582647</v>
      </c>
    </row>
    <row r="131" spans="1:13" ht="12.75" customHeight="1">
      <c r="A131" s="108" t="s">
        <v>25</v>
      </c>
      <c r="B131" s="86" t="s">
        <v>284</v>
      </c>
      <c r="C131" s="85" t="s">
        <v>18</v>
      </c>
      <c r="D131" s="85" t="s">
        <v>211</v>
      </c>
      <c r="E131" s="85" t="s">
        <v>285</v>
      </c>
      <c r="F131" s="87" t="s">
        <v>224</v>
      </c>
      <c r="G131" s="230">
        <v>30</v>
      </c>
      <c r="H131" s="111">
        <v>15</v>
      </c>
      <c r="I131" s="88">
        <f t="shared" si="18"/>
        <v>2</v>
      </c>
      <c r="J131" s="75">
        <v>15</v>
      </c>
      <c r="K131" s="89">
        <f t="shared" si="19"/>
        <v>2</v>
      </c>
      <c r="L131" s="75">
        <v>0</v>
      </c>
      <c r="M131" s="89">
        <f t="shared" si="20"/>
        <v>0</v>
      </c>
    </row>
    <row r="132" spans="1:13" ht="12.75" customHeight="1">
      <c r="A132" s="108" t="s">
        <v>25</v>
      </c>
      <c r="B132" s="86" t="s">
        <v>284</v>
      </c>
      <c r="C132" s="85" t="s">
        <v>18</v>
      </c>
      <c r="D132" s="85" t="s">
        <v>253</v>
      </c>
      <c r="E132" s="85" t="s">
        <v>285</v>
      </c>
      <c r="F132" s="87" t="s">
        <v>254</v>
      </c>
      <c r="G132" s="230">
        <v>7</v>
      </c>
      <c r="H132" s="111">
        <v>7</v>
      </c>
      <c r="I132" s="88">
        <f t="shared" si="18"/>
        <v>1</v>
      </c>
      <c r="J132" s="75">
        <v>7</v>
      </c>
      <c r="K132" s="89">
        <f t="shared" si="19"/>
        <v>1</v>
      </c>
      <c r="L132" s="75">
        <v>0</v>
      </c>
      <c r="M132" s="89">
        <f t="shared" si="20"/>
        <v>0</v>
      </c>
    </row>
    <row r="133" spans="1:13" ht="12.75" customHeight="1">
      <c r="A133" s="108" t="s">
        <v>25</v>
      </c>
      <c r="B133" s="86" t="s">
        <v>284</v>
      </c>
      <c r="C133" s="85" t="s">
        <v>18</v>
      </c>
      <c r="D133" s="85" t="s">
        <v>227</v>
      </c>
      <c r="E133" s="85" t="s">
        <v>285</v>
      </c>
      <c r="F133" s="87" t="s">
        <v>228</v>
      </c>
      <c r="G133" s="230">
        <v>50</v>
      </c>
      <c r="H133" s="111">
        <v>50</v>
      </c>
      <c r="I133" s="88">
        <f t="shared" si="18"/>
        <v>1</v>
      </c>
      <c r="J133" s="75">
        <v>50</v>
      </c>
      <c r="K133" s="89">
        <f t="shared" si="19"/>
        <v>1</v>
      </c>
      <c r="L133" s="75">
        <v>26.752</v>
      </c>
      <c r="M133" s="89">
        <f t="shared" si="20"/>
        <v>1.869019138755981</v>
      </c>
    </row>
    <row r="134" spans="1:13" ht="12.75" customHeight="1">
      <c r="A134" s="108" t="s">
        <v>25</v>
      </c>
      <c r="B134" s="86" t="s">
        <v>284</v>
      </c>
      <c r="C134" s="85" t="s">
        <v>18</v>
      </c>
      <c r="D134" s="85" t="s">
        <v>176</v>
      </c>
      <c r="E134" s="85" t="s">
        <v>285</v>
      </c>
      <c r="F134" s="87" t="s">
        <v>178</v>
      </c>
      <c r="G134" s="230">
        <v>50</v>
      </c>
      <c r="H134" s="111">
        <v>45</v>
      </c>
      <c r="I134" s="88">
        <f t="shared" si="18"/>
        <v>1.1111111111111112</v>
      </c>
      <c r="J134" s="75">
        <v>45</v>
      </c>
      <c r="K134" s="89">
        <f t="shared" si="19"/>
        <v>1.1111111111111112</v>
      </c>
      <c r="L134" s="75">
        <v>37.78</v>
      </c>
      <c r="M134" s="89">
        <f t="shared" si="20"/>
        <v>1.3234515616728428</v>
      </c>
    </row>
    <row r="135" spans="1:13" ht="12.75" customHeight="1">
      <c r="A135" s="108" t="s">
        <v>25</v>
      </c>
      <c r="B135" s="86" t="s">
        <v>284</v>
      </c>
      <c r="C135" s="85" t="s">
        <v>18</v>
      </c>
      <c r="D135" s="85" t="s">
        <v>233</v>
      </c>
      <c r="E135" s="85" t="s">
        <v>285</v>
      </c>
      <c r="F135" s="87" t="s">
        <v>234</v>
      </c>
      <c r="G135" s="230">
        <v>30</v>
      </c>
      <c r="H135" s="111">
        <v>30</v>
      </c>
      <c r="I135" s="88">
        <f t="shared" si="18"/>
        <v>1</v>
      </c>
      <c r="J135" s="75">
        <v>30</v>
      </c>
      <c r="K135" s="89">
        <f t="shared" si="19"/>
        <v>1</v>
      </c>
      <c r="L135" s="75">
        <v>28.056</v>
      </c>
      <c r="M135" s="89">
        <f t="shared" si="20"/>
        <v>1.06928999144568</v>
      </c>
    </row>
    <row r="136" spans="1:13" ht="12.75" customHeight="1">
      <c r="A136" s="108" t="s">
        <v>25</v>
      </c>
      <c r="B136" s="86" t="s">
        <v>284</v>
      </c>
      <c r="C136" s="85" t="s">
        <v>18</v>
      </c>
      <c r="D136" s="85" t="s">
        <v>187</v>
      </c>
      <c r="E136" s="85" t="s">
        <v>285</v>
      </c>
      <c r="F136" s="87" t="s">
        <v>288</v>
      </c>
      <c r="G136" s="230">
        <v>6</v>
      </c>
      <c r="H136" s="111">
        <v>6</v>
      </c>
      <c r="I136" s="88">
        <f t="shared" si="18"/>
        <v>1</v>
      </c>
      <c r="J136" s="75">
        <v>6</v>
      </c>
      <c r="K136" s="89">
        <f t="shared" si="19"/>
        <v>1</v>
      </c>
      <c r="L136" s="75">
        <v>11.87</v>
      </c>
      <c r="M136" s="89">
        <f t="shared" si="20"/>
        <v>0.5054759898904803</v>
      </c>
    </row>
    <row r="137" spans="1:13" ht="12.75" customHeight="1">
      <c r="A137" s="108" t="s">
        <v>25</v>
      </c>
      <c r="B137" s="86" t="s">
        <v>284</v>
      </c>
      <c r="C137" s="85" t="s">
        <v>18</v>
      </c>
      <c r="D137" s="85" t="s">
        <v>289</v>
      </c>
      <c r="E137" s="85" t="s">
        <v>285</v>
      </c>
      <c r="F137" s="87" t="s">
        <v>290</v>
      </c>
      <c r="G137" s="230">
        <v>54</v>
      </c>
      <c r="H137" s="111">
        <v>106</v>
      </c>
      <c r="I137" s="88">
        <f t="shared" si="18"/>
        <v>0.5094339622641509</v>
      </c>
      <c r="J137" s="75">
        <v>106</v>
      </c>
      <c r="K137" s="89">
        <f t="shared" si="19"/>
        <v>0.5094339622641509</v>
      </c>
      <c r="L137" s="75">
        <v>88.5</v>
      </c>
      <c r="M137" s="89">
        <f t="shared" si="20"/>
        <v>0.6101694915254238</v>
      </c>
    </row>
    <row r="138" spans="1:13" ht="12.75" customHeight="1">
      <c r="A138" s="108" t="s">
        <v>25</v>
      </c>
      <c r="B138" s="86" t="s">
        <v>284</v>
      </c>
      <c r="C138" s="85" t="s">
        <v>18</v>
      </c>
      <c r="D138" s="85" t="s">
        <v>236</v>
      </c>
      <c r="E138" s="85" t="s">
        <v>285</v>
      </c>
      <c r="F138" s="87" t="s">
        <v>291</v>
      </c>
      <c r="G138" s="230">
        <v>183.6</v>
      </c>
      <c r="H138" s="111">
        <v>398</v>
      </c>
      <c r="I138" s="88">
        <f t="shared" si="18"/>
        <v>0.46130653266331656</v>
      </c>
      <c r="J138" s="75">
        <v>253.2</v>
      </c>
      <c r="K138" s="89">
        <f t="shared" si="19"/>
        <v>0.7251184834123223</v>
      </c>
      <c r="L138" s="75">
        <v>51.072</v>
      </c>
      <c r="M138" s="89">
        <f t="shared" si="20"/>
        <v>3.594924812030075</v>
      </c>
    </row>
    <row r="139" spans="1:13" ht="12.75" customHeight="1">
      <c r="A139" s="108" t="s">
        <v>25</v>
      </c>
      <c r="B139" s="86" t="s">
        <v>292</v>
      </c>
      <c r="C139" s="85" t="s">
        <v>18</v>
      </c>
      <c r="D139" s="85" t="s">
        <v>236</v>
      </c>
      <c r="E139" s="85" t="s">
        <v>293</v>
      </c>
      <c r="F139" s="87" t="s">
        <v>294</v>
      </c>
      <c r="G139" s="230">
        <v>160</v>
      </c>
      <c r="H139" s="111">
        <v>0</v>
      </c>
      <c r="I139" s="88">
        <f t="shared" si="18"/>
        <v>0</v>
      </c>
      <c r="J139" s="75">
        <v>0</v>
      </c>
      <c r="K139" s="89">
        <f t="shared" si="19"/>
        <v>0</v>
      </c>
      <c r="L139" s="75">
        <v>0</v>
      </c>
      <c r="M139" s="89">
        <f t="shared" si="20"/>
        <v>0</v>
      </c>
    </row>
    <row r="140" spans="1:13" ht="12.75" customHeight="1">
      <c r="A140" s="108" t="s">
        <v>25</v>
      </c>
      <c r="B140" s="86" t="s">
        <v>284</v>
      </c>
      <c r="C140" s="85" t="s">
        <v>18</v>
      </c>
      <c r="D140" s="85" t="s">
        <v>193</v>
      </c>
      <c r="E140" s="85" t="s">
        <v>285</v>
      </c>
      <c r="F140" s="87" t="s">
        <v>239</v>
      </c>
      <c r="G140" s="230">
        <v>30</v>
      </c>
      <c r="H140" s="111">
        <v>20</v>
      </c>
      <c r="I140" s="88">
        <f t="shared" si="18"/>
        <v>1.5</v>
      </c>
      <c r="J140" s="75">
        <v>20</v>
      </c>
      <c r="K140" s="89">
        <f t="shared" si="19"/>
        <v>1.5</v>
      </c>
      <c r="L140" s="75">
        <v>16.601</v>
      </c>
      <c r="M140" s="89">
        <f t="shared" si="20"/>
        <v>1.807120053008855</v>
      </c>
    </row>
    <row r="141" spans="1:13" ht="12.75" customHeight="1">
      <c r="A141" s="108" t="s">
        <v>25</v>
      </c>
      <c r="B141" s="86" t="s">
        <v>284</v>
      </c>
      <c r="C141" s="85" t="s">
        <v>18</v>
      </c>
      <c r="D141" s="85" t="s">
        <v>256</v>
      </c>
      <c r="E141" s="85" t="s">
        <v>285</v>
      </c>
      <c r="F141" s="87" t="s">
        <v>257</v>
      </c>
      <c r="G141" s="230">
        <v>90</v>
      </c>
      <c r="H141" s="111">
        <v>90</v>
      </c>
      <c r="I141" s="88">
        <f t="shared" si="18"/>
        <v>1</v>
      </c>
      <c r="J141" s="75">
        <v>90</v>
      </c>
      <c r="K141" s="89">
        <f t="shared" si="19"/>
        <v>1</v>
      </c>
      <c r="L141" s="75">
        <v>66.356</v>
      </c>
      <c r="M141" s="89">
        <f t="shared" si="20"/>
        <v>1.356320453312436</v>
      </c>
    </row>
    <row r="142" spans="1:13" ht="12.75" customHeight="1">
      <c r="A142" s="108" t="s">
        <v>25</v>
      </c>
      <c r="B142" s="86" t="s">
        <v>284</v>
      </c>
      <c r="C142" s="85" t="s">
        <v>18</v>
      </c>
      <c r="D142" s="85" t="s">
        <v>195</v>
      </c>
      <c r="E142" s="85" t="s">
        <v>285</v>
      </c>
      <c r="F142" s="87" t="s">
        <v>258</v>
      </c>
      <c r="G142" s="230">
        <v>3</v>
      </c>
      <c r="H142" s="111">
        <v>3</v>
      </c>
      <c r="I142" s="88">
        <f t="shared" si="18"/>
        <v>1</v>
      </c>
      <c r="J142" s="75">
        <v>3</v>
      </c>
      <c r="K142" s="89">
        <f t="shared" si="19"/>
        <v>1</v>
      </c>
      <c r="L142" s="75">
        <v>1.176</v>
      </c>
      <c r="M142" s="89">
        <f t="shared" si="20"/>
        <v>2.5510204081632653</v>
      </c>
    </row>
    <row r="143" spans="1:13" ht="12.75" customHeight="1" thickBot="1">
      <c r="A143" s="108" t="s">
        <v>25</v>
      </c>
      <c r="B143" s="86" t="s">
        <v>284</v>
      </c>
      <c r="C143" s="85" t="s">
        <v>18</v>
      </c>
      <c r="D143" s="85" t="s">
        <v>295</v>
      </c>
      <c r="E143" s="85" t="s">
        <v>285</v>
      </c>
      <c r="F143" s="87" t="s">
        <v>296</v>
      </c>
      <c r="G143" s="230">
        <v>2</v>
      </c>
      <c r="H143" s="111">
        <v>2</v>
      </c>
      <c r="I143" s="88">
        <f t="shared" si="18"/>
        <v>1</v>
      </c>
      <c r="J143" s="75">
        <v>2</v>
      </c>
      <c r="K143" s="89">
        <f t="shared" si="19"/>
        <v>1</v>
      </c>
      <c r="L143" s="75">
        <v>0</v>
      </c>
      <c r="M143" s="89">
        <f t="shared" si="20"/>
        <v>0</v>
      </c>
    </row>
    <row r="144" spans="1:15" ht="12.75" customHeight="1">
      <c r="A144" s="109"/>
      <c r="B144" s="91" t="s">
        <v>11</v>
      </c>
      <c r="C144" s="90" t="s">
        <v>18</v>
      </c>
      <c r="D144" s="90"/>
      <c r="E144" s="90"/>
      <c r="F144" s="92"/>
      <c r="G144" s="231">
        <f>SUM(G128:G143)</f>
        <v>11294.6</v>
      </c>
      <c r="H144" s="93">
        <f>SUM(H128:H143)</f>
        <v>10519</v>
      </c>
      <c r="I144" s="94">
        <f t="shared" si="18"/>
        <v>1.0737332446050005</v>
      </c>
      <c r="J144" s="93">
        <f>SUM(J128:J143)</f>
        <v>10547.6</v>
      </c>
      <c r="K144" s="94">
        <f t="shared" si="19"/>
        <v>1.0708217983237893</v>
      </c>
      <c r="L144" s="93">
        <f>SUM(L128:L143)</f>
        <v>8670.579000000003</v>
      </c>
      <c r="M144" s="94">
        <f t="shared" si="20"/>
        <v>1.3026350374063826</v>
      </c>
      <c r="O144" s="80"/>
    </row>
    <row r="145" spans="9:13" ht="12.75" customHeight="1">
      <c r="I145" s="88"/>
      <c r="K145" s="89"/>
      <c r="M145" s="89"/>
    </row>
    <row r="146" spans="1:15" ht="12.75" customHeight="1">
      <c r="A146" s="107"/>
      <c r="B146" s="95" t="s">
        <v>30</v>
      </c>
      <c r="C146" s="81"/>
      <c r="D146" s="81"/>
      <c r="E146" s="81"/>
      <c r="F146" s="96"/>
      <c r="G146" s="232">
        <f>SUM(G144)</f>
        <v>11294.6</v>
      </c>
      <c r="H146" s="103">
        <f>SUM(H144)</f>
        <v>10519</v>
      </c>
      <c r="I146" s="98">
        <f>IF(H146=0,0,$G146/H146)</f>
        <v>1.0737332446050005</v>
      </c>
      <c r="J146" s="97">
        <f>SUM(J144)</f>
        <v>10547.6</v>
      </c>
      <c r="K146" s="99">
        <f>IF(J146=0,0,$G146/J146)</f>
        <v>1.0708217983237893</v>
      </c>
      <c r="L146" s="97">
        <f>SUM(L144)</f>
        <v>8670.579000000003</v>
      </c>
      <c r="M146" s="99">
        <f>IF(L146=0,0,$G146/L146)</f>
        <v>1.3026350374063826</v>
      </c>
      <c r="O146" s="80"/>
    </row>
    <row r="147" spans="9:13" ht="12.75" customHeight="1">
      <c r="I147" s="88"/>
      <c r="K147" s="89"/>
      <c r="M147" s="89"/>
    </row>
    <row r="148" spans="9:13" ht="12.75" customHeight="1">
      <c r="I148" s="88"/>
      <c r="K148" s="89"/>
      <c r="M148" s="89"/>
    </row>
    <row r="149" spans="1:13" ht="12.75" customHeight="1">
      <c r="A149" s="108" t="s">
        <v>31</v>
      </c>
      <c r="B149" s="86" t="s">
        <v>297</v>
      </c>
      <c r="C149" s="85" t="s">
        <v>18</v>
      </c>
      <c r="D149" s="85" t="s">
        <v>266</v>
      </c>
      <c r="E149" s="85" t="s">
        <v>298</v>
      </c>
      <c r="F149" s="87" t="s">
        <v>789</v>
      </c>
      <c r="G149" s="230">
        <v>1840</v>
      </c>
      <c r="H149" s="111">
        <v>6315</v>
      </c>
      <c r="I149" s="88">
        <f aca="true" t="shared" si="21" ref="I149:I166">IF(H149=0,0,$G149/H149)</f>
        <v>0.2913697545526524</v>
      </c>
      <c r="J149" s="75">
        <v>2100.69</v>
      </c>
      <c r="K149" s="89">
        <f aca="true" t="shared" si="22" ref="K149:K166">IF(J149=0,0,$G149/J149)</f>
        <v>0.8759026795957519</v>
      </c>
      <c r="L149" s="75">
        <v>1641.641</v>
      </c>
      <c r="M149" s="89">
        <f aca="true" t="shared" si="23" ref="M149:M166">IF(L149=0,0,$G149/L149)</f>
        <v>1.120829706373074</v>
      </c>
    </row>
    <row r="150" spans="1:13" ht="12.75" customHeight="1">
      <c r="A150" s="108" t="s">
        <v>31</v>
      </c>
      <c r="B150" s="86" t="s">
        <v>297</v>
      </c>
      <c r="C150" s="85" t="s">
        <v>18</v>
      </c>
      <c r="D150" s="85" t="s">
        <v>217</v>
      </c>
      <c r="E150" s="85" t="s">
        <v>298</v>
      </c>
      <c r="F150" s="87" t="s">
        <v>300</v>
      </c>
      <c r="G150" s="230">
        <v>60</v>
      </c>
      <c r="H150" s="111">
        <v>80</v>
      </c>
      <c r="I150" s="88">
        <f t="shared" si="21"/>
        <v>0.75</v>
      </c>
      <c r="J150" s="75">
        <v>95</v>
      </c>
      <c r="K150" s="89">
        <f t="shared" si="22"/>
        <v>0.631578947368421</v>
      </c>
      <c r="L150" s="75">
        <v>84.2</v>
      </c>
      <c r="M150" s="89">
        <f t="shared" si="23"/>
        <v>0.7125890736342042</v>
      </c>
    </row>
    <row r="151" spans="1:13" ht="12.75" customHeight="1">
      <c r="A151" s="108" t="s">
        <v>31</v>
      </c>
      <c r="B151" s="86" t="s">
        <v>297</v>
      </c>
      <c r="C151" s="85" t="s">
        <v>18</v>
      </c>
      <c r="D151" s="85" t="s">
        <v>220</v>
      </c>
      <c r="E151" s="85" t="s">
        <v>298</v>
      </c>
      <c r="F151" s="87" t="s">
        <v>286</v>
      </c>
      <c r="G151" s="230">
        <v>475</v>
      </c>
      <c r="H151" s="111">
        <v>1599</v>
      </c>
      <c r="I151" s="88">
        <f t="shared" si="21"/>
        <v>0.2970606629143214</v>
      </c>
      <c r="J151" s="75">
        <v>624.67</v>
      </c>
      <c r="K151" s="89">
        <f t="shared" si="22"/>
        <v>0.7604014919877696</v>
      </c>
      <c r="L151" s="75">
        <v>433.51</v>
      </c>
      <c r="M151" s="89">
        <f t="shared" si="23"/>
        <v>1.0957071347835114</v>
      </c>
    </row>
    <row r="152" spans="1:13" ht="12.75" customHeight="1">
      <c r="A152" s="108" t="s">
        <v>31</v>
      </c>
      <c r="B152" s="86" t="s">
        <v>297</v>
      </c>
      <c r="C152" s="85" t="s">
        <v>18</v>
      </c>
      <c r="D152" s="85" t="s">
        <v>222</v>
      </c>
      <c r="E152" s="85" t="s">
        <v>298</v>
      </c>
      <c r="F152" s="87" t="s">
        <v>287</v>
      </c>
      <c r="G152" s="230">
        <v>171</v>
      </c>
      <c r="H152" s="111">
        <v>575</v>
      </c>
      <c r="I152" s="88">
        <f t="shared" si="21"/>
        <v>0.29739130434782607</v>
      </c>
      <c r="J152" s="75">
        <v>225.17</v>
      </c>
      <c r="K152" s="89">
        <f t="shared" si="22"/>
        <v>0.7594262113070125</v>
      </c>
      <c r="L152" s="75">
        <v>156.063</v>
      </c>
      <c r="M152" s="89">
        <f t="shared" si="23"/>
        <v>1.0957113473404971</v>
      </c>
    </row>
    <row r="153" spans="1:13" ht="12.75" customHeight="1">
      <c r="A153" s="108" t="s">
        <v>31</v>
      </c>
      <c r="B153" s="86" t="s">
        <v>297</v>
      </c>
      <c r="C153" s="85" t="s">
        <v>18</v>
      </c>
      <c r="D153" s="85" t="s">
        <v>211</v>
      </c>
      <c r="E153" s="85" t="s">
        <v>298</v>
      </c>
      <c r="F153" s="87" t="s">
        <v>224</v>
      </c>
      <c r="G153" s="230">
        <v>4</v>
      </c>
      <c r="H153" s="111">
        <v>16</v>
      </c>
      <c r="I153" s="88">
        <f t="shared" si="21"/>
        <v>0.25</v>
      </c>
      <c r="J153" s="75">
        <v>4</v>
      </c>
      <c r="K153" s="89">
        <f t="shared" si="22"/>
        <v>1</v>
      </c>
      <c r="L153" s="75">
        <v>0</v>
      </c>
      <c r="M153" s="89">
        <f t="shared" si="23"/>
        <v>0</v>
      </c>
    </row>
    <row r="154" spans="1:13" ht="12.75" customHeight="1">
      <c r="A154" s="108" t="s">
        <v>31</v>
      </c>
      <c r="B154" s="86" t="s">
        <v>297</v>
      </c>
      <c r="C154" s="85" t="s">
        <v>18</v>
      </c>
      <c r="D154" s="85" t="s">
        <v>253</v>
      </c>
      <c r="E154" s="85" t="s">
        <v>298</v>
      </c>
      <c r="F154" s="87" t="s">
        <v>254</v>
      </c>
      <c r="G154" s="230">
        <v>8</v>
      </c>
      <c r="H154" s="111">
        <v>18</v>
      </c>
      <c r="I154" s="88">
        <f t="shared" si="21"/>
        <v>0.4444444444444444</v>
      </c>
      <c r="J154" s="75">
        <v>8</v>
      </c>
      <c r="K154" s="89">
        <f t="shared" si="22"/>
        <v>1</v>
      </c>
      <c r="L154" s="75">
        <v>4.094</v>
      </c>
      <c r="M154" s="89">
        <f t="shared" si="23"/>
        <v>1.9540791402051783</v>
      </c>
    </row>
    <row r="155" spans="1:13" ht="12.75" customHeight="1">
      <c r="A155" s="108" t="s">
        <v>31</v>
      </c>
      <c r="B155" s="86" t="s">
        <v>297</v>
      </c>
      <c r="C155" s="85" t="s">
        <v>18</v>
      </c>
      <c r="D155" s="85" t="s">
        <v>227</v>
      </c>
      <c r="E155" s="85" t="s">
        <v>298</v>
      </c>
      <c r="F155" s="87" t="s">
        <v>228</v>
      </c>
      <c r="G155" s="230">
        <v>5</v>
      </c>
      <c r="H155" s="111">
        <v>15</v>
      </c>
      <c r="I155" s="88">
        <f t="shared" si="21"/>
        <v>0.3333333333333333</v>
      </c>
      <c r="J155" s="75">
        <v>73</v>
      </c>
      <c r="K155" s="89">
        <f t="shared" si="22"/>
        <v>0.0684931506849315</v>
      </c>
      <c r="L155" s="75">
        <v>17.88</v>
      </c>
      <c r="M155" s="89">
        <f t="shared" si="23"/>
        <v>0.2796420581655481</v>
      </c>
    </row>
    <row r="156" spans="1:13" ht="12.75" customHeight="1">
      <c r="A156" s="108" t="s">
        <v>31</v>
      </c>
      <c r="B156" s="86" t="s">
        <v>297</v>
      </c>
      <c r="C156" s="85" t="s">
        <v>18</v>
      </c>
      <c r="D156" s="85" t="s">
        <v>176</v>
      </c>
      <c r="E156" s="85" t="s">
        <v>298</v>
      </c>
      <c r="F156" s="87" t="s">
        <v>301</v>
      </c>
      <c r="G156" s="230">
        <v>11</v>
      </c>
      <c r="H156" s="111">
        <v>8</v>
      </c>
      <c r="I156" s="88">
        <f t="shared" si="21"/>
        <v>1.375</v>
      </c>
      <c r="J156" s="75">
        <v>8</v>
      </c>
      <c r="K156" s="89">
        <f t="shared" si="22"/>
        <v>1.375</v>
      </c>
      <c r="L156" s="75">
        <v>2.406</v>
      </c>
      <c r="M156" s="89">
        <f t="shared" si="23"/>
        <v>4.571903574397339</v>
      </c>
    </row>
    <row r="157" spans="1:13" ht="12.75" customHeight="1">
      <c r="A157" s="108" t="s">
        <v>31</v>
      </c>
      <c r="B157" s="86" t="s">
        <v>297</v>
      </c>
      <c r="C157" s="85" t="s">
        <v>18</v>
      </c>
      <c r="D157" s="85" t="s">
        <v>233</v>
      </c>
      <c r="E157" s="85" t="s">
        <v>298</v>
      </c>
      <c r="F157" s="87" t="s">
        <v>234</v>
      </c>
      <c r="G157" s="230">
        <v>10</v>
      </c>
      <c r="H157" s="111">
        <v>20</v>
      </c>
      <c r="I157" s="88">
        <f t="shared" si="21"/>
        <v>0.5</v>
      </c>
      <c r="J157" s="75">
        <v>5</v>
      </c>
      <c r="K157" s="89">
        <f t="shared" si="22"/>
        <v>2</v>
      </c>
      <c r="L157" s="75">
        <v>3.202</v>
      </c>
      <c r="M157" s="89">
        <f t="shared" si="23"/>
        <v>3.1230480949406623</v>
      </c>
    </row>
    <row r="158" spans="1:13" ht="12.75" customHeight="1">
      <c r="A158" s="108" t="s">
        <v>31</v>
      </c>
      <c r="B158" s="86" t="s">
        <v>297</v>
      </c>
      <c r="C158" s="85" t="s">
        <v>18</v>
      </c>
      <c r="D158" s="85" t="s">
        <v>187</v>
      </c>
      <c r="E158" s="85" t="s">
        <v>298</v>
      </c>
      <c r="F158" s="87" t="s">
        <v>302</v>
      </c>
      <c r="G158" s="230">
        <v>7</v>
      </c>
      <c r="H158" s="111">
        <v>23</v>
      </c>
      <c r="I158" s="88">
        <f t="shared" si="21"/>
        <v>0.30434782608695654</v>
      </c>
      <c r="J158" s="75">
        <v>7</v>
      </c>
      <c r="K158" s="89">
        <f t="shared" si="22"/>
        <v>1</v>
      </c>
      <c r="L158" s="75">
        <v>4.51</v>
      </c>
      <c r="M158" s="89">
        <f t="shared" si="23"/>
        <v>1.5521064301552108</v>
      </c>
    </row>
    <row r="159" spans="1:13" ht="12.75" customHeight="1">
      <c r="A159" s="108" t="s">
        <v>31</v>
      </c>
      <c r="B159" s="86" t="s">
        <v>297</v>
      </c>
      <c r="C159" s="85" t="s">
        <v>18</v>
      </c>
      <c r="D159" s="85" t="s">
        <v>189</v>
      </c>
      <c r="E159" s="85" t="s">
        <v>298</v>
      </c>
      <c r="F159" s="87" t="s">
        <v>190</v>
      </c>
      <c r="G159" s="230">
        <v>0</v>
      </c>
      <c r="H159" s="111">
        <v>17</v>
      </c>
      <c r="I159" s="88">
        <f t="shared" si="21"/>
        <v>0</v>
      </c>
      <c r="J159" s="75">
        <v>3</v>
      </c>
      <c r="K159" s="89">
        <f t="shared" si="22"/>
        <v>0</v>
      </c>
      <c r="L159" s="75">
        <v>0</v>
      </c>
      <c r="M159" s="89">
        <f t="shared" si="23"/>
        <v>0</v>
      </c>
    </row>
    <row r="160" spans="1:13" ht="12.75" customHeight="1">
      <c r="A160" s="108" t="s">
        <v>31</v>
      </c>
      <c r="B160" s="86" t="s">
        <v>297</v>
      </c>
      <c r="C160" s="85" t="s">
        <v>18</v>
      </c>
      <c r="D160" s="85" t="s">
        <v>236</v>
      </c>
      <c r="E160" s="85" t="s">
        <v>298</v>
      </c>
      <c r="F160" s="87" t="s">
        <v>291</v>
      </c>
      <c r="G160" s="230">
        <f>51+5.1</f>
        <v>56.1</v>
      </c>
      <c r="H160" s="111">
        <v>307</v>
      </c>
      <c r="I160" s="88">
        <f t="shared" si="21"/>
        <v>0.18273615635179152</v>
      </c>
      <c r="J160" s="75">
        <v>41.12</v>
      </c>
      <c r="K160" s="89">
        <f t="shared" si="22"/>
        <v>1.3642996108949417</v>
      </c>
      <c r="L160" s="75">
        <v>37.42</v>
      </c>
      <c r="M160" s="89">
        <f t="shared" si="23"/>
        <v>1.4991982896846605</v>
      </c>
    </row>
    <row r="161" spans="1:13" ht="12.75" customHeight="1">
      <c r="A161" s="108" t="s">
        <v>31</v>
      </c>
      <c r="B161" s="86" t="s">
        <v>303</v>
      </c>
      <c r="C161" s="85" t="s">
        <v>18</v>
      </c>
      <c r="D161" s="85" t="s">
        <v>236</v>
      </c>
      <c r="E161" s="85" t="s">
        <v>304</v>
      </c>
      <c r="F161" s="87" t="s">
        <v>303</v>
      </c>
      <c r="G161" s="230">
        <v>28</v>
      </c>
      <c r="H161" s="111">
        <v>0</v>
      </c>
      <c r="I161" s="88">
        <f t="shared" si="21"/>
        <v>0</v>
      </c>
      <c r="J161" s="75">
        <v>0</v>
      </c>
      <c r="K161" s="89">
        <f t="shared" si="22"/>
        <v>0</v>
      </c>
      <c r="L161" s="75">
        <v>0</v>
      </c>
      <c r="M161" s="89">
        <f t="shared" si="23"/>
        <v>0</v>
      </c>
    </row>
    <row r="162" spans="1:13" ht="12.75" customHeight="1">
      <c r="A162" s="108" t="s">
        <v>31</v>
      </c>
      <c r="B162" s="86" t="s">
        <v>303</v>
      </c>
      <c r="C162" s="85" t="s">
        <v>18</v>
      </c>
      <c r="D162" s="85" t="s">
        <v>191</v>
      </c>
      <c r="E162" s="85" t="s">
        <v>298</v>
      </c>
      <c r="F162" s="87" t="s">
        <v>238</v>
      </c>
      <c r="G162" s="230">
        <v>0</v>
      </c>
      <c r="H162" s="111">
        <v>20</v>
      </c>
      <c r="I162" s="88">
        <f t="shared" si="21"/>
        <v>0</v>
      </c>
      <c r="J162" s="75">
        <v>0</v>
      </c>
      <c r="K162" s="89">
        <f t="shared" si="22"/>
        <v>0</v>
      </c>
      <c r="L162" s="75">
        <v>0</v>
      </c>
      <c r="M162" s="89">
        <f t="shared" si="23"/>
        <v>0</v>
      </c>
    </row>
    <row r="163" spans="1:13" ht="12.75" customHeight="1">
      <c r="A163" s="108" t="s">
        <v>31</v>
      </c>
      <c r="B163" s="86" t="s">
        <v>297</v>
      </c>
      <c r="C163" s="85" t="s">
        <v>18</v>
      </c>
      <c r="D163" s="85" t="s">
        <v>193</v>
      </c>
      <c r="E163" s="85" t="s">
        <v>298</v>
      </c>
      <c r="F163" s="87" t="s">
        <v>239</v>
      </c>
      <c r="G163" s="230">
        <v>3</v>
      </c>
      <c r="H163" s="111">
        <v>3</v>
      </c>
      <c r="I163" s="88">
        <f t="shared" si="21"/>
        <v>1</v>
      </c>
      <c r="J163" s="75">
        <v>0</v>
      </c>
      <c r="K163" s="89">
        <f t="shared" si="22"/>
        <v>0</v>
      </c>
      <c r="L163" s="75">
        <v>0</v>
      </c>
      <c r="M163" s="89">
        <f t="shared" si="23"/>
        <v>0</v>
      </c>
    </row>
    <row r="164" spans="1:13" ht="12.75" customHeight="1">
      <c r="A164" s="108" t="s">
        <v>31</v>
      </c>
      <c r="B164" s="86" t="s">
        <v>297</v>
      </c>
      <c r="C164" s="85" t="s">
        <v>18</v>
      </c>
      <c r="D164" s="85" t="s">
        <v>256</v>
      </c>
      <c r="E164" s="85" t="s">
        <v>298</v>
      </c>
      <c r="F164" s="87" t="s">
        <v>257</v>
      </c>
      <c r="G164" s="230">
        <v>30</v>
      </c>
      <c r="H164" s="111">
        <v>156</v>
      </c>
      <c r="I164" s="88">
        <f t="shared" si="21"/>
        <v>0.19230769230769232</v>
      </c>
      <c r="J164" s="75">
        <v>46</v>
      </c>
      <c r="K164" s="89">
        <f t="shared" si="22"/>
        <v>0.6521739130434783</v>
      </c>
      <c r="L164" s="75">
        <v>15.687</v>
      </c>
      <c r="M164" s="89">
        <f t="shared" si="23"/>
        <v>1.912411550965768</v>
      </c>
    </row>
    <row r="165" spans="1:13" ht="12.75" customHeight="1" thickBot="1">
      <c r="A165" s="108" t="s">
        <v>31</v>
      </c>
      <c r="B165" s="86" t="s">
        <v>297</v>
      </c>
      <c r="C165" s="85" t="s">
        <v>18</v>
      </c>
      <c r="D165" s="85" t="s">
        <v>195</v>
      </c>
      <c r="E165" s="85" t="s">
        <v>298</v>
      </c>
      <c r="F165" s="87" t="s">
        <v>258</v>
      </c>
      <c r="G165" s="230">
        <v>5</v>
      </c>
      <c r="H165" s="111">
        <v>10</v>
      </c>
      <c r="I165" s="88">
        <f t="shared" si="21"/>
        <v>0.5</v>
      </c>
      <c r="J165" s="75">
        <v>5</v>
      </c>
      <c r="K165" s="89">
        <f t="shared" si="22"/>
        <v>1</v>
      </c>
      <c r="L165" s="75">
        <v>0.423</v>
      </c>
      <c r="M165" s="89">
        <f t="shared" si="23"/>
        <v>11.82033096926714</v>
      </c>
    </row>
    <row r="166" spans="1:15" ht="12.75" customHeight="1">
      <c r="A166" s="109"/>
      <c r="B166" s="91" t="s">
        <v>11</v>
      </c>
      <c r="C166" s="90" t="s">
        <v>18</v>
      </c>
      <c r="D166" s="90"/>
      <c r="E166" s="90"/>
      <c r="F166" s="92"/>
      <c r="G166" s="231">
        <f>SUM(G149:G165)</f>
        <v>2713.1</v>
      </c>
      <c r="H166" s="93">
        <f>SUM(H149:H165)</f>
        <v>9182</v>
      </c>
      <c r="I166" s="94">
        <f t="shared" si="21"/>
        <v>0.295480287519059</v>
      </c>
      <c r="J166" s="93">
        <f>SUM(J149:J165)</f>
        <v>3245.65</v>
      </c>
      <c r="K166" s="94">
        <f t="shared" si="22"/>
        <v>0.8359188452236069</v>
      </c>
      <c r="L166" s="93">
        <f>SUM(L149:L165)</f>
        <v>2401.0360000000005</v>
      </c>
      <c r="M166" s="94">
        <f t="shared" si="23"/>
        <v>1.1299705627070977</v>
      </c>
      <c r="O166" s="80"/>
    </row>
    <row r="167" spans="9:13" ht="12.75" customHeight="1">
      <c r="I167" s="88"/>
      <c r="K167" s="89"/>
      <c r="M167" s="89"/>
    </row>
    <row r="168" spans="1:15" ht="12.75" customHeight="1">
      <c r="A168" s="107"/>
      <c r="B168" s="95" t="s">
        <v>35</v>
      </c>
      <c r="C168" s="81"/>
      <c r="D168" s="81"/>
      <c r="E168" s="81"/>
      <c r="F168" s="96"/>
      <c r="G168" s="232">
        <f>SUM(G166)</f>
        <v>2713.1</v>
      </c>
      <c r="H168" s="103">
        <f>SUM(H166)</f>
        <v>9182</v>
      </c>
      <c r="I168" s="98">
        <f>IF(H168=0,0,$G168/H168)</f>
        <v>0.295480287519059</v>
      </c>
      <c r="J168" s="97">
        <f>SUM(J166)</f>
        <v>3245.65</v>
      </c>
      <c r="K168" s="99">
        <f>IF(J168=0,0,$G168/J168)</f>
        <v>0.8359188452236069</v>
      </c>
      <c r="L168" s="97">
        <f>SUM(L166)</f>
        <v>2401.0360000000005</v>
      </c>
      <c r="M168" s="99">
        <f>IF(L168=0,0,$G168/L168)</f>
        <v>1.1299705627070977</v>
      </c>
      <c r="O168" s="80"/>
    </row>
    <row r="169" spans="9:13" ht="12.75" customHeight="1">
      <c r="I169" s="88"/>
      <c r="K169" s="89"/>
      <c r="M169" s="89"/>
    </row>
    <row r="170" spans="9:13" ht="12.75" customHeight="1">
      <c r="I170" s="88"/>
      <c r="K170" s="89"/>
      <c r="M170" s="89"/>
    </row>
    <row r="171" spans="1:13" ht="12.75" customHeight="1">
      <c r="A171" s="108" t="s">
        <v>36</v>
      </c>
      <c r="B171" s="86" t="s">
        <v>305</v>
      </c>
      <c r="C171" s="85" t="s">
        <v>18</v>
      </c>
      <c r="D171" s="85" t="s">
        <v>266</v>
      </c>
      <c r="E171" s="85" t="s">
        <v>306</v>
      </c>
      <c r="F171" s="87" t="s">
        <v>788</v>
      </c>
      <c r="G171" s="230">
        <v>4471</v>
      </c>
      <c r="H171" s="111">
        <v>0</v>
      </c>
      <c r="I171" s="88">
        <f aca="true" t="shared" si="24" ref="I171:I190">IF(H171=0,0,$G171/H171)</f>
        <v>0</v>
      </c>
      <c r="J171" s="75">
        <v>4135.41</v>
      </c>
      <c r="K171" s="89">
        <f aca="true" t="shared" si="25" ref="K171:K190">IF(J171=0,0,$G171/J171)</f>
        <v>1.081150357521987</v>
      </c>
      <c r="L171" s="75">
        <v>3496.623</v>
      </c>
      <c r="M171" s="89">
        <f aca="true" t="shared" si="26" ref="M171:M190">IF(L171=0,0,$G171/L171)</f>
        <v>1.278662297879983</v>
      </c>
    </row>
    <row r="172" spans="1:13" ht="12.75" customHeight="1">
      <c r="A172" s="108" t="s">
        <v>36</v>
      </c>
      <c r="B172" s="86" t="s">
        <v>305</v>
      </c>
      <c r="C172" s="85" t="s">
        <v>18</v>
      </c>
      <c r="D172" s="85" t="s">
        <v>217</v>
      </c>
      <c r="E172" s="85" t="s">
        <v>306</v>
      </c>
      <c r="F172" s="87" t="s">
        <v>300</v>
      </c>
      <c r="G172" s="230">
        <v>110</v>
      </c>
      <c r="H172" s="111">
        <v>0</v>
      </c>
      <c r="I172" s="88">
        <f t="shared" si="24"/>
        <v>0</v>
      </c>
      <c r="J172" s="75">
        <v>45</v>
      </c>
      <c r="K172" s="89">
        <f t="shared" si="25"/>
        <v>2.4444444444444446</v>
      </c>
      <c r="L172" s="75">
        <v>52</v>
      </c>
      <c r="M172" s="89">
        <f t="shared" si="26"/>
        <v>2.1153846153846154</v>
      </c>
    </row>
    <row r="173" spans="1:13" ht="12.75" customHeight="1">
      <c r="A173" s="108" t="s">
        <v>36</v>
      </c>
      <c r="B173" s="86" t="s">
        <v>305</v>
      </c>
      <c r="C173" s="85" t="s">
        <v>18</v>
      </c>
      <c r="D173" s="85" t="s">
        <v>220</v>
      </c>
      <c r="E173" s="85" t="s">
        <v>306</v>
      </c>
      <c r="F173" s="87" t="s">
        <v>286</v>
      </c>
      <c r="G173" s="230">
        <v>1145.3</v>
      </c>
      <c r="H173" s="111">
        <v>0</v>
      </c>
      <c r="I173" s="88">
        <f t="shared" si="24"/>
        <v>0</v>
      </c>
      <c r="J173" s="75">
        <v>1039.1</v>
      </c>
      <c r="K173" s="89">
        <f t="shared" si="25"/>
        <v>1.1022038302377057</v>
      </c>
      <c r="L173" s="75">
        <v>867.834</v>
      </c>
      <c r="M173" s="89">
        <f t="shared" si="26"/>
        <v>1.3197224353966313</v>
      </c>
    </row>
    <row r="174" spans="1:13" ht="12.75" customHeight="1">
      <c r="A174" s="108" t="s">
        <v>36</v>
      </c>
      <c r="B174" s="86" t="s">
        <v>305</v>
      </c>
      <c r="C174" s="85" t="s">
        <v>18</v>
      </c>
      <c r="D174" s="85" t="s">
        <v>222</v>
      </c>
      <c r="E174" s="85" t="s">
        <v>306</v>
      </c>
      <c r="F174" s="87" t="s">
        <v>287</v>
      </c>
      <c r="G174" s="230">
        <v>412.3</v>
      </c>
      <c r="H174" s="111">
        <v>0</v>
      </c>
      <c r="I174" s="88">
        <f t="shared" si="24"/>
        <v>0</v>
      </c>
      <c r="J174" s="75">
        <v>373.16</v>
      </c>
      <c r="K174" s="89">
        <f t="shared" si="25"/>
        <v>1.104887983706721</v>
      </c>
      <c r="L174" s="75">
        <v>312.421</v>
      </c>
      <c r="M174" s="89">
        <f t="shared" si="26"/>
        <v>1.3196936185467687</v>
      </c>
    </row>
    <row r="175" spans="1:13" ht="12.75" customHeight="1">
      <c r="A175" s="108" t="s">
        <v>36</v>
      </c>
      <c r="B175" s="86" t="s">
        <v>305</v>
      </c>
      <c r="C175" s="85" t="s">
        <v>18</v>
      </c>
      <c r="D175" s="85" t="s">
        <v>211</v>
      </c>
      <c r="E175" s="85" t="s">
        <v>306</v>
      </c>
      <c r="F175" s="87" t="s">
        <v>212</v>
      </c>
      <c r="G175" s="230">
        <v>24</v>
      </c>
      <c r="H175" s="111">
        <v>0</v>
      </c>
      <c r="I175" s="88">
        <f t="shared" si="24"/>
        <v>0</v>
      </c>
      <c r="J175" s="75">
        <v>6</v>
      </c>
      <c r="K175" s="89">
        <f t="shared" si="25"/>
        <v>4</v>
      </c>
      <c r="L175" s="75">
        <v>1.176</v>
      </c>
      <c r="M175" s="89">
        <f t="shared" si="26"/>
        <v>20.408163265306122</v>
      </c>
    </row>
    <row r="176" spans="1:13" ht="12.75" customHeight="1">
      <c r="A176" s="108" t="s">
        <v>36</v>
      </c>
      <c r="B176" s="86" t="s">
        <v>305</v>
      </c>
      <c r="C176" s="85" t="s">
        <v>18</v>
      </c>
      <c r="D176" s="85" t="s">
        <v>253</v>
      </c>
      <c r="E176" s="85" t="s">
        <v>306</v>
      </c>
      <c r="F176" s="87" t="s">
        <v>254</v>
      </c>
      <c r="G176" s="230">
        <v>10</v>
      </c>
      <c r="H176" s="111">
        <v>0</v>
      </c>
      <c r="I176" s="88">
        <f t="shared" si="24"/>
        <v>0</v>
      </c>
      <c r="J176" s="75">
        <v>10</v>
      </c>
      <c r="K176" s="89">
        <f t="shared" si="25"/>
        <v>1</v>
      </c>
      <c r="L176" s="75">
        <v>3.109</v>
      </c>
      <c r="M176" s="89">
        <f t="shared" si="26"/>
        <v>3.21646831778707</v>
      </c>
    </row>
    <row r="177" spans="1:13" ht="12.75" customHeight="1">
      <c r="A177" s="108" t="s">
        <v>36</v>
      </c>
      <c r="B177" s="86" t="s">
        <v>305</v>
      </c>
      <c r="C177" s="85" t="s">
        <v>18</v>
      </c>
      <c r="D177" s="85" t="s">
        <v>227</v>
      </c>
      <c r="E177" s="85" t="s">
        <v>306</v>
      </c>
      <c r="F177" s="87" t="s">
        <v>228</v>
      </c>
      <c r="G177" s="230">
        <v>12</v>
      </c>
      <c r="H177" s="111">
        <v>0</v>
      </c>
      <c r="I177" s="88">
        <f t="shared" si="24"/>
        <v>0</v>
      </c>
      <c r="J177" s="75">
        <f>181-50</f>
        <v>131</v>
      </c>
      <c r="K177" s="89">
        <f t="shared" si="25"/>
        <v>0.0916030534351145</v>
      </c>
      <c r="L177" s="75">
        <v>0</v>
      </c>
      <c r="M177" s="89">
        <f t="shared" si="26"/>
        <v>0</v>
      </c>
    </row>
    <row r="178" spans="1:13" ht="12.75" customHeight="1">
      <c r="A178" s="108" t="s">
        <v>36</v>
      </c>
      <c r="B178" s="86" t="s">
        <v>305</v>
      </c>
      <c r="C178" s="85" t="s">
        <v>18</v>
      </c>
      <c r="D178" s="85" t="s">
        <v>176</v>
      </c>
      <c r="E178" s="85" t="s">
        <v>306</v>
      </c>
      <c r="F178" s="87" t="s">
        <v>178</v>
      </c>
      <c r="G178" s="230">
        <v>23</v>
      </c>
      <c r="H178" s="111">
        <v>0</v>
      </c>
      <c r="I178" s="88">
        <f t="shared" si="24"/>
        <v>0</v>
      </c>
      <c r="J178" s="75">
        <v>21</v>
      </c>
      <c r="K178" s="89">
        <f t="shared" si="25"/>
        <v>1.0952380952380953</v>
      </c>
      <c r="L178" s="75">
        <v>17.047</v>
      </c>
      <c r="M178" s="89">
        <f t="shared" si="26"/>
        <v>1.349211004868892</v>
      </c>
    </row>
    <row r="179" spans="1:13" ht="12.75" customHeight="1">
      <c r="A179" s="108" t="s">
        <v>36</v>
      </c>
      <c r="B179" s="86" t="s">
        <v>305</v>
      </c>
      <c r="C179" s="85" t="s">
        <v>18</v>
      </c>
      <c r="D179" s="85" t="s">
        <v>233</v>
      </c>
      <c r="E179" s="85" t="s">
        <v>306</v>
      </c>
      <c r="F179" s="87" t="s">
        <v>234</v>
      </c>
      <c r="G179" s="230">
        <v>68</v>
      </c>
      <c r="H179" s="111">
        <v>0</v>
      </c>
      <c r="I179" s="88">
        <f t="shared" si="24"/>
        <v>0</v>
      </c>
      <c r="J179" s="75">
        <v>0</v>
      </c>
      <c r="K179" s="89">
        <f t="shared" si="25"/>
        <v>0</v>
      </c>
      <c r="L179" s="75">
        <v>0</v>
      </c>
      <c r="M179" s="89">
        <f t="shared" si="26"/>
        <v>0</v>
      </c>
    </row>
    <row r="180" spans="1:13" ht="12.75" customHeight="1">
      <c r="A180" s="108" t="s">
        <v>36</v>
      </c>
      <c r="B180" s="86" t="s">
        <v>305</v>
      </c>
      <c r="C180" s="85" t="s">
        <v>18</v>
      </c>
      <c r="D180" s="85" t="s">
        <v>185</v>
      </c>
      <c r="E180" s="85" t="s">
        <v>306</v>
      </c>
      <c r="F180" s="87" t="s">
        <v>307</v>
      </c>
      <c r="G180" s="230">
        <v>75</v>
      </c>
      <c r="H180" s="111">
        <v>0</v>
      </c>
      <c r="I180" s="88">
        <f t="shared" si="24"/>
        <v>0</v>
      </c>
      <c r="J180" s="75">
        <v>75</v>
      </c>
      <c r="K180" s="89">
        <f t="shared" si="25"/>
        <v>1</v>
      </c>
      <c r="L180" s="75">
        <v>0</v>
      </c>
      <c r="M180" s="89">
        <f t="shared" si="26"/>
        <v>0</v>
      </c>
    </row>
    <row r="181" spans="1:13" ht="12.75" customHeight="1">
      <c r="A181" s="108" t="s">
        <v>36</v>
      </c>
      <c r="B181" s="86" t="s">
        <v>305</v>
      </c>
      <c r="C181" s="85" t="s">
        <v>18</v>
      </c>
      <c r="D181" s="85" t="s">
        <v>187</v>
      </c>
      <c r="E181" s="85" t="s">
        <v>306</v>
      </c>
      <c r="F181" s="87" t="s">
        <v>302</v>
      </c>
      <c r="G181" s="230">
        <v>16</v>
      </c>
      <c r="H181" s="111">
        <v>0</v>
      </c>
      <c r="I181" s="88">
        <f t="shared" si="24"/>
        <v>0</v>
      </c>
      <c r="J181" s="75">
        <v>16</v>
      </c>
      <c r="K181" s="89">
        <f t="shared" si="25"/>
        <v>1</v>
      </c>
      <c r="L181" s="75">
        <v>11.845</v>
      </c>
      <c r="M181" s="89">
        <f t="shared" si="26"/>
        <v>1.3507809202195018</v>
      </c>
    </row>
    <row r="182" spans="1:13" ht="12.75" customHeight="1">
      <c r="A182" s="108" t="s">
        <v>662</v>
      </c>
      <c r="B182" s="86" t="s">
        <v>305</v>
      </c>
      <c r="C182" s="85" t="s">
        <v>18</v>
      </c>
      <c r="D182" s="85" t="s">
        <v>189</v>
      </c>
      <c r="E182" s="85" t="s">
        <v>306</v>
      </c>
      <c r="F182" s="87" t="s">
        <v>190</v>
      </c>
      <c r="G182" s="230">
        <v>0</v>
      </c>
      <c r="H182" s="111">
        <v>0</v>
      </c>
      <c r="I182" s="88">
        <f t="shared" si="24"/>
        <v>0</v>
      </c>
      <c r="J182" s="75">
        <v>2</v>
      </c>
      <c r="K182" s="89">
        <f t="shared" si="25"/>
        <v>0</v>
      </c>
      <c r="L182" s="75">
        <v>0</v>
      </c>
      <c r="M182" s="89">
        <f t="shared" si="26"/>
        <v>0</v>
      </c>
    </row>
    <row r="183" spans="1:13" ht="12.75" customHeight="1">
      <c r="A183" s="108" t="s">
        <v>36</v>
      </c>
      <c r="B183" s="86" t="s">
        <v>305</v>
      </c>
      <c r="C183" s="85" t="s">
        <v>18</v>
      </c>
      <c r="D183" s="85" t="s">
        <v>236</v>
      </c>
      <c r="E183" s="85" t="s">
        <v>306</v>
      </c>
      <c r="F183" s="87" t="s">
        <v>291</v>
      </c>
      <c r="G183" s="230">
        <v>142.8</v>
      </c>
      <c r="H183" s="111">
        <v>0</v>
      </c>
      <c r="I183" s="88">
        <f t="shared" si="24"/>
        <v>0</v>
      </c>
      <c r="J183" s="75">
        <v>102.44</v>
      </c>
      <c r="K183" s="89">
        <f t="shared" si="25"/>
        <v>1.3939867239359627</v>
      </c>
      <c r="L183" s="75">
        <v>57</v>
      </c>
      <c r="M183" s="89">
        <f t="shared" si="26"/>
        <v>2.505263157894737</v>
      </c>
    </row>
    <row r="184" spans="1:13" ht="12.75" customHeight="1">
      <c r="A184" s="108" t="s">
        <v>36</v>
      </c>
      <c r="B184" s="86" t="s">
        <v>308</v>
      </c>
      <c r="C184" s="85" t="s">
        <v>18</v>
      </c>
      <c r="D184" s="85" t="s">
        <v>236</v>
      </c>
      <c r="E184" s="85" t="s">
        <v>309</v>
      </c>
      <c r="F184" s="87" t="s">
        <v>308</v>
      </c>
      <c r="G184" s="230">
        <v>112</v>
      </c>
      <c r="H184" s="111">
        <v>0</v>
      </c>
      <c r="I184" s="88">
        <f t="shared" si="24"/>
        <v>0</v>
      </c>
      <c r="J184" s="75">
        <v>0</v>
      </c>
      <c r="K184" s="89">
        <f t="shared" si="25"/>
        <v>0</v>
      </c>
      <c r="L184" s="75">
        <v>0</v>
      </c>
      <c r="M184" s="89">
        <f t="shared" si="26"/>
        <v>0</v>
      </c>
    </row>
    <row r="185" spans="1:13" ht="12.75" customHeight="1">
      <c r="A185" s="108" t="s">
        <v>36</v>
      </c>
      <c r="B185" s="86" t="s">
        <v>305</v>
      </c>
      <c r="C185" s="85" t="s">
        <v>18</v>
      </c>
      <c r="D185" s="85" t="s">
        <v>191</v>
      </c>
      <c r="E185" s="85" t="s">
        <v>306</v>
      </c>
      <c r="F185" s="87" t="s">
        <v>238</v>
      </c>
      <c r="G185" s="230">
        <v>20</v>
      </c>
      <c r="H185" s="111">
        <v>0</v>
      </c>
      <c r="I185" s="88">
        <f t="shared" si="24"/>
        <v>0</v>
      </c>
      <c r="J185" s="75">
        <v>3</v>
      </c>
      <c r="K185" s="89">
        <f t="shared" si="25"/>
        <v>6.666666666666667</v>
      </c>
      <c r="L185" s="75">
        <v>0.295</v>
      </c>
      <c r="M185" s="89">
        <f t="shared" si="26"/>
        <v>67.79661016949153</v>
      </c>
    </row>
    <row r="186" spans="1:13" ht="12.75" customHeight="1">
      <c r="A186" s="108" t="s">
        <v>36</v>
      </c>
      <c r="B186" s="86" t="s">
        <v>305</v>
      </c>
      <c r="C186" s="85" t="s">
        <v>18</v>
      </c>
      <c r="D186" s="85" t="s">
        <v>193</v>
      </c>
      <c r="E186" s="85" t="s">
        <v>306</v>
      </c>
      <c r="F186" s="87" t="s">
        <v>239</v>
      </c>
      <c r="G186" s="230">
        <v>3</v>
      </c>
      <c r="H186" s="111">
        <v>0</v>
      </c>
      <c r="I186" s="88">
        <f t="shared" si="24"/>
        <v>0</v>
      </c>
      <c r="J186" s="75">
        <v>3</v>
      </c>
      <c r="K186" s="89">
        <f t="shared" si="25"/>
        <v>1</v>
      </c>
      <c r="L186" s="75">
        <v>0</v>
      </c>
      <c r="M186" s="89">
        <f t="shared" si="26"/>
        <v>0</v>
      </c>
    </row>
    <row r="187" spans="1:13" ht="12.75" customHeight="1">
      <c r="A187" s="108" t="s">
        <v>36</v>
      </c>
      <c r="B187" s="86" t="s">
        <v>305</v>
      </c>
      <c r="C187" s="85" t="s">
        <v>18</v>
      </c>
      <c r="D187" s="85" t="s">
        <v>256</v>
      </c>
      <c r="E187" s="85" t="s">
        <v>306</v>
      </c>
      <c r="F187" s="87" t="s">
        <v>257</v>
      </c>
      <c r="G187" s="230">
        <v>110</v>
      </c>
      <c r="H187" s="111">
        <v>0</v>
      </c>
      <c r="I187" s="88">
        <f t="shared" si="24"/>
        <v>0</v>
      </c>
      <c r="J187" s="75">
        <v>110</v>
      </c>
      <c r="K187" s="89">
        <f t="shared" si="25"/>
        <v>1</v>
      </c>
      <c r="L187" s="75">
        <v>80.842</v>
      </c>
      <c r="M187" s="89">
        <f t="shared" si="26"/>
        <v>1.3606788550505926</v>
      </c>
    </row>
    <row r="188" spans="1:13" ht="12.75" customHeight="1">
      <c r="A188" s="108" t="s">
        <v>36</v>
      </c>
      <c r="B188" s="86" t="s">
        <v>305</v>
      </c>
      <c r="C188" s="85" t="s">
        <v>18</v>
      </c>
      <c r="D188" s="85" t="s">
        <v>195</v>
      </c>
      <c r="E188" s="85" t="s">
        <v>306</v>
      </c>
      <c r="F188" s="87" t="s">
        <v>258</v>
      </c>
      <c r="G188" s="230">
        <v>5</v>
      </c>
      <c r="H188" s="111">
        <v>0</v>
      </c>
      <c r="I188" s="88">
        <f t="shared" si="24"/>
        <v>0</v>
      </c>
      <c r="J188" s="75">
        <v>5</v>
      </c>
      <c r="K188" s="89">
        <f t="shared" si="25"/>
        <v>1</v>
      </c>
      <c r="L188" s="75">
        <v>0</v>
      </c>
      <c r="M188" s="89">
        <f t="shared" si="26"/>
        <v>0</v>
      </c>
    </row>
    <row r="189" spans="1:13" ht="12.75" customHeight="1" thickBot="1">
      <c r="A189" s="108" t="s">
        <v>36</v>
      </c>
      <c r="B189" s="86" t="s">
        <v>305</v>
      </c>
      <c r="C189" s="85" t="s">
        <v>18</v>
      </c>
      <c r="D189" s="85" t="s">
        <v>349</v>
      </c>
      <c r="E189" s="85" t="s">
        <v>306</v>
      </c>
      <c r="F189" s="87" t="s">
        <v>785</v>
      </c>
      <c r="G189" s="230">
        <v>0</v>
      </c>
      <c r="H189" s="111">
        <v>0</v>
      </c>
      <c r="I189" s="88">
        <f>IF(H189=0,0,$G189/H189)</f>
        <v>0</v>
      </c>
      <c r="J189" s="75">
        <v>50</v>
      </c>
      <c r="K189" s="89">
        <f>IF(J189=0,0,$G189/J189)</f>
        <v>0</v>
      </c>
      <c r="L189" s="75">
        <v>0</v>
      </c>
      <c r="M189" s="89">
        <f>IF(L189=0,0,$G189/L189)</f>
        <v>0</v>
      </c>
    </row>
    <row r="190" spans="1:15" ht="12.75" customHeight="1">
      <c r="A190" s="109"/>
      <c r="B190" s="91" t="s">
        <v>11</v>
      </c>
      <c r="C190" s="90" t="s">
        <v>18</v>
      </c>
      <c r="D190" s="90"/>
      <c r="E190" s="90"/>
      <c r="F190" s="92"/>
      <c r="G190" s="231">
        <f aca="true" t="shared" si="27" ref="G190:L190">SUM(G171:G189)</f>
        <v>6759.400000000001</v>
      </c>
      <c r="H190" s="93">
        <f t="shared" si="27"/>
        <v>0</v>
      </c>
      <c r="I190" s="94">
        <f t="shared" si="24"/>
        <v>0</v>
      </c>
      <c r="J190" s="93">
        <f t="shared" si="27"/>
        <v>6127.11</v>
      </c>
      <c r="K190" s="94">
        <f t="shared" si="25"/>
        <v>1.1031954706215492</v>
      </c>
      <c r="L190" s="93">
        <f t="shared" si="27"/>
        <v>4900.192000000001</v>
      </c>
      <c r="M190" s="94">
        <f t="shared" si="26"/>
        <v>1.3794153371949507</v>
      </c>
      <c r="O190" s="80"/>
    </row>
    <row r="191" spans="9:13" ht="12.75" customHeight="1">
      <c r="I191" s="88"/>
      <c r="K191" s="89"/>
      <c r="M191" s="89"/>
    </row>
    <row r="192" spans="1:15" ht="12.75" customHeight="1">
      <c r="A192" s="107"/>
      <c r="B192" s="95" t="s">
        <v>40</v>
      </c>
      <c r="C192" s="81"/>
      <c r="D192" s="81"/>
      <c r="E192" s="81"/>
      <c r="F192" s="96"/>
      <c r="G192" s="232">
        <f>SUM(G190)</f>
        <v>6759.400000000001</v>
      </c>
      <c r="H192" s="103">
        <f>SUM(H190)</f>
        <v>0</v>
      </c>
      <c r="I192" s="98">
        <f>IF(H192=0,0,$G192/H192)</f>
        <v>0</v>
      </c>
      <c r="J192" s="97">
        <f>SUM(J190)</f>
        <v>6127.11</v>
      </c>
      <c r="K192" s="99">
        <f>IF(J192=0,0,$G192/J192)</f>
        <v>1.1031954706215492</v>
      </c>
      <c r="L192" s="97">
        <f>SUM(L190)</f>
        <v>4900.192000000001</v>
      </c>
      <c r="M192" s="99">
        <f>IF(L192=0,0,$G192/L192)</f>
        <v>1.3794153371949507</v>
      </c>
      <c r="O192" s="80"/>
    </row>
    <row r="193" spans="9:13" ht="12.75" customHeight="1">
      <c r="I193" s="88"/>
      <c r="K193" s="89"/>
      <c r="M193" s="89"/>
    </row>
    <row r="194" spans="9:13" ht="12.75" customHeight="1">
      <c r="I194" s="88"/>
      <c r="K194" s="89"/>
      <c r="M194" s="89"/>
    </row>
    <row r="195" spans="1:13" ht="12.75" customHeight="1" thickBot="1">
      <c r="A195" s="108" t="s">
        <v>310</v>
      </c>
      <c r="B195" s="86" t="s">
        <v>311</v>
      </c>
      <c r="C195" s="85" t="s">
        <v>312</v>
      </c>
      <c r="D195" s="85" t="s">
        <v>313</v>
      </c>
      <c r="E195" s="85" t="s">
        <v>314</v>
      </c>
      <c r="F195" s="87" t="s">
        <v>315</v>
      </c>
      <c r="G195" s="230">
        <v>600</v>
      </c>
      <c r="H195" s="111">
        <v>700</v>
      </c>
      <c r="I195" s="88">
        <f>IF(H195=0,0,$G195/H195)</f>
        <v>0.8571428571428571</v>
      </c>
      <c r="J195" s="75">
        <v>700</v>
      </c>
      <c r="K195" s="89">
        <f>IF(J195=0,0,$G195/J195)</f>
        <v>0.8571428571428571</v>
      </c>
      <c r="L195" s="75">
        <v>144</v>
      </c>
      <c r="M195" s="89">
        <f>IF(L195=0,0,$G195/L195)</f>
        <v>4.166666666666667</v>
      </c>
    </row>
    <row r="196" spans="1:15" ht="12.75" customHeight="1">
      <c r="A196" s="109"/>
      <c r="B196" s="91" t="s">
        <v>11</v>
      </c>
      <c r="C196" s="90" t="s">
        <v>312</v>
      </c>
      <c r="D196" s="90"/>
      <c r="E196" s="90"/>
      <c r="F196" s="92"/>
      <c r="G196" s="231">
        <f>SUM(G195)</f>
        <v>600</v>
      </c>
      <c r="H196" s="93">
        <f>SUM(H195)</f>
        <v>700</v>
      </c>
      <c r="I196" s="94">
        <f>IF(H196=0,0,$G196/H196)</f>
        <v>0.8571428571428571</v>
      </c>
      <c r="J196" s="93">
        <f>SUM(J195)</f>
        <v>700</v>
      </c>
      <c r="K196" s="94">
        <f>IF(J196=0,0,$G196/J196)</f>
        <v>0.8571428571428571</v>
      </c>
      <c r="L196" s="93">
        <f>SUM(L195)</f>
        <v>144</v>
      </c>
      <c r="M196" s="94">
        <f>IF(L196=0,0,$G196/L196)</f>
        <v>4.166666666666667</v>
      </c>
      <c r="O196" s="80"/>
    </row>
    <row r="197" spans="9:13" ht="12.75" customHeight="1">
      <c r="I197" s="88"/>
      <c r="K197" s="89"/>
      <c r="M197" s="89"/>
    </row>
    <row r="198" spans="1:13" ht="12.75" customHeight="1">
      <c r="A198" s="108" t="s">
        <v>310</v>
      </c>
      <c r="B198" s="86" t="s">
        <v>316</v>
      </c>
      <c r="C198" s="85" t="s">
        <v>18</v>
      </c>
      <c r="D198" s="85" t="s">
        <v>266</v>
      </c>
      <c r="E198" s="85" t="s">
        <v>317</v>
      </c>
      <c r="F198" s="87" t="s">
        <v>792</v>
      </c>
      <c r="G198" s="230">
        <v>1371</v>
      </c>
      <c r="H198" s="111">
        <v>3357</v>
      </c>
      <c r="I198" s="88">
        <f aca="true" t="shared" si="28" ref="I198:I213">IF(H198=0,0,$G198/H198)</f>
        <v>0.40840035746201964</v>
      </c>
      <c r="J198" s="75">
        <v>2029.38</v>
      </c>
      <c r="K198" s="89">
        <f aca="true" t="shared" si="29" ref="K198:K213">IF(J198=0,0,$G198/J198)</f>
        <v>0.6755757916210862</v>
      </c>
      <c r="L198" s="75">
        <v>2140.183</v>
      </c>
      <c r="M198" s="89">
        <f aca="true" t="shared" si="30" ref="M198:M213">IF(L198=0,0,$G198/L198)</f>
        <v>0.6405994253762411</v>
      </c>
    </row>
    <row r="199" spans="1:13" ht="12.75" customHeight="1">
      <c r="A199" s="108" t="s">
        <v>310</v>
      </c>
      <c r="B199" s="86" t="s">
        <v>316</v>
      </c>
      <c r="C199" s="85" t="s">
        <v>18</v>
      </c>
      <c r="D199" s="85" t="s">
        <v>220</v>
      </c>
      <c r="E199" s="85" t="s">
        <v>317</v>
      </c>
      <c r="F199" s="87" t="s">
        <v>286</v>
      </c>
      <c r="G199" s="230">
        <v>343</v>
      </c>
      <c r="H199" s="111">
        <v>839</v>
      </c>
      <c r="I199" s="88">
        <f t="shared" si="28"/>
        <v>0.4088200238379023</v>
      </c>
      <c r="J199" s="75">
        <v>504.71</v>
      </c>
      <c r="K199" s="89">
        <f t="shared" si="29"/>
        <v>0.679598185096392</v>
      </c>
      <c r="L199" s="75">
        <v>530.131</v>
      </c>
      <c r="M199" s="89">
        <f t="shared" si="30"/>
        <v>0.6470098900083188</v>
      </c>
    </row>
    <row r="200" spans="1:13" ht="12.75" customHeight="1">
      <c r="A200" s="108" t="s">
        <v>310</v>
      </c>
      <c r="B200" s="86" t="s">
        <v>316</v>
      </c>
      <c r="C200" s="85" t="s">
        <v>18</v>
      </c>
      <c r="D200" s="85" t="s">
        <v>222</v>
      </c>
      <c r="E200" s="85" t="s">
        <v>317</v>
      </c>
      <c r="F200" s="87" t="s">
        <v>287</v>
      </c>
      <c r="G200" s="230">
        <v>124</v>
      </c>
      <c r="H200" s="111">
        <v>302</v>
      </c>
      <c r="I200" s="88">
        <f t="shared" si="28"/>
        <v>0.4105960264900662</v>
      </c>
      <c r="J200" s="75">
        <v>181.68</v>
      </c>
      <c r="K200" s="89">
        <f t="shared" si="29"/>
        <v>0.6825187142228093</v>
      </c>
      <c r="L200" s="75">
        <v>190.841</v>
      </c>
      <c r="M200" s="89">
        <f t="shared" si="30"/>
        <v>0.6497555556719992</v>
      </c>
    </row>
    <row r="201" spans="1:13" ht="12.75" customHeight="1">
      <c r="A201" s="108" t="s">
        <v>310</v>
      </c>
      <c r="B201" s="86" t="s">
        <v>316</v>
      </c>
      <c r="C201" s="85" t="s">
        <v>18</v>
      </c>
      <c r="D201" s="85" t="s">
        <v>211</v>
      </c>
      <c r="E201" s="85" t="s">
        <v>317</v>
      </c>
      <c r="F201" s="87" t="s">
        <v>224</v>
      </c>
      <c r="G201" s="230">
        <v>1</v>
      </c>
      <c r="H201" s="111">
        <v>5</v>
      </c>
      <c r="I201" s="88">
        <f t="shared" si="28"/>
        <v>0.2</v>
      </c>
      <c r="J201" s="75">
        <v>1.92</v>
      </c>
      <c r="K201" s="89">
        <f t="shared" si="29"/>
        <v>0.5208333333333334</v>
      </c>
      <c r="L201" s="75">
        <v>0</v>
      </c>
      <c r="M201" s="89">
        <f t="shared" si="30"/>
        <v>0</v>
      </c>
    </row>
    <row r="202" spans="1:13" ht="12.75" customHeight="1">
      <c r="A202" s="108" t="s">
        <v>310</v>
      </c>
      <c r="B202" s="86" t="s">
        <v>316</v>
      </c>
      <c r="C202" s="85" t="s">
        <v>18</v>
      </c>
      <c r="D202" s="85" t="s">
        <v>253</v>
      </c>
      <c r="E202" s="85" t="s">
        <v>317</v>
      </c>
      <c r="F202" s="87" t="s">
        <v>254</v>
      </c>
      <c r="G202" s="230">
        <v>7</v>
      </c>
      <c r="H202" s="111">
        <v>5</v>
      </c>
      <c r="I202" s="88">
        <f t="shared" si="28"/>
        <v>1.4</v>
      </c>
      <c r="J202" s="75">
        <v>4.32</v>
      </c>
      <c r="K202" s="89">
        <f t="shared" si="29"/>
        <v>1.6203703703703702</v>
      </c>
      <c r="L202" s="75">
        <v>4.198</v>
      </c>
      <c r="M202" s="89">
        <f t="shared" si="30"/>
        <v>1.6674606955693185</v>
      </c>
    </row>
    <row r="203" spans="1:13" ht="12.75" customHeight="1">
      <c r="A203" s="108" t="s">
        <v>310</v>
      </c>
      <c r="B203" s="86" t="s">
        <v>316</v>
      </c>
      <c r="C203" s="85" t="s">
        <v>18</v>
      </c>
      <c r="D203" s="85" t="s">
        <v>227</v>
      </c>
      <c r="E203" s="85" t="s">
        <v>317</v>
      </c>
      <c r="F203" s="87" t="s">
        <v>228</v>
      </c>
      <c r="G203" s="230">
        <v>4</v>
      </c>
      <c r="H203" s="111">
        <v>11</v>
      </c>
      <c r="I203" s="88">
        <f t="shared" si="28"/>
        <v>0.36363636363636365</v>
      </c>
      <c r="J203" s="75">
        <v>4.23</v>
      </c>
      <c r="K203" s="89">
        <f t="shared" si="29"/>
        <v>0.9456264775413711</v>
      </c>
      <c r="L203" s="75">
        <v>3</v>
      </c>
      <c r="M203" s="89">
        <f t="shared" si="30"/>
        <v>1.3333333333333333</v>
      </c>
    </row>
    <row r="204" spans="1:13" ht="12.75" customHeight="1">
      <c r="A204" s="108" t="s">
        <v>310</v>
      </c>
      <c r="B204" s="86" t="s">
        <v>316</v>
      </c>
      <c r="C204" s="85" t="s">
        <v>18</v>
      </c>
      <c r="D204" s="85" t="s">
        <v>176</v>
      </c>
      <c r="E204" s="85" t="s">
        <v>317</v>
      </c>
      <c r="F204" s="87" t="s">
        <v>178</v>
      </c>
      <c r="G204" s="230">
        <v>6</v>
      </c>
      <c r="H204" s="111">
        <v>15</v>
      </c>
      <c r="I204" s="88">
        <f t="shared" si="28"/>
        <v>0.4</v>
      </c>
      <c r="J204" s="75">
        <v>5.77</v>
      </c>
      <c r="K204" s="89">
        <f t="shared" si="29"/>
        <v>1.0398613518197575</v>
      </c>
      <c r="L204" s="75">
        <v>10.807</v>
      </c>
      <c r="M204" s="89">
        <f t="shared" si="30"/>
        <v>0.5551957064865365</v>
      </c>
    </row>
    <row r="205" spans="1:13" ht="12.75" customHeight="1">
      <c r="A205" s="108" t="s">
        <v>310</v>
      </c>
      <c r="B205" s="86" t="s">
        <v>316</v>
      </c>
      <c r="C205" s="85" t="s">
        <v>18</v>
      </c>
      <c r="D205" s="85" t="s">
        <v>233</v>
      </c>
      <c r="E205" s="85" t="s">
        <v>317</v>
      </c>
      <c r="F205" s="87" t="s">
        <v>234</v>
      </c>
      <c r="G205" s="230">
        <v>15</v>
      </c>
      <c r="H205" s="111">
        <v>30</v>
      </c>
      <c r="I205" s="88">
        <f t="shared" si="28"/>
        <v>0.5</v>
      </c>
      <c r="J205" s="75">
        <v>16.38</v>
      </c>
      <c r="K205" s="89">
        <f t="shared" si="29"/>
        <v>0.9157509157509158</v>
      </c>
      <c r="L205" s="75">
        <v>16.554</v>
      </c>
      <c r="M205" s="89">
        <f t="shared" si="30"/>
        <v>0.9061254077564336</v>
      </c>
    </row>
    <row r="206" spans="1:13" ht="12.75" customHeight="1">
      <c r="A206" s="108" t="s">
        <v>310</v>
      </c>
      <c r="B206" s="86" t="s">
        <v>316</v>
      </c>
      <c r="C206" s="85" t="s">
        <v>18</v>
      </c>
      <c r="D206" s="85" t="s">
        <v>187</v>
      </c>
      <c r="E206" s="85" t="s">
        <v>317</v>
      </c>
      <c r="F206" s="87" t="s">
        <v>302</v>
      </c>
      <c r="G206" s="230">
        <v>7</v>
      </c>
      <c r="H206" s="111">
        <v>7</v>
      </c>
      <c r="I206" s="88">
        <f t="shared" si="28"/>
        <v>1</v>
      </c>
      <c r="J206" s="75">
        <v>6.38</v>
      </c>
      <c r="K206" s="89">
        <f t="shared" si="29"/>
        <v>1.09717868338558</v>
      </c>
      <c r="L206" s="75">
        <v>7.767</v>
      </c>
      <c r="M206" s="89">
        <f t="shared" si="30"/>
        <v>0.9012488734389081</v>
      </c>
    </row>
    <row r="207" spans="1:13" ht="12.75" customHeight="1">
      <c r="A207" s="108" t="s">
        <v>310</v>
      </c>
      <c r="B207" s="86" t="s">
        <v>316</v>
      </c>
      <c r="C207" s="85" t="s">
        <v>18</v>
      </c>
      <c r="D207" s="85" t="s">
        <v>189</v>
      </c>
      <c r="E207" s="85" t="s">
        <v>317</v>
      </c>
      <c r="F207" s="87" t="s">
        <v>318</v>
      </c>
      <c r="G207" s="230">
        <v>15</v>
      </c>
      <c r="H207" s="111">
        <v>17</v>
      </c>
      <c r="I207" s="88">
        <f t="shared" si="28"/>
        <v>0.8823529411764706</v>
      </c>
      <c r="J207" s="75">
        <v>12</v>
      </c>
      <c r="K207" s="89">
        <f t="shared" si="29"/>
        <v>1.25</v>
      </c>
      <c r="L207" s="75">
        <v>0</v>
      </c>
      <c r="M207" s="89">
        <f t="shared" si="30"/>
        <v>0</v>
      </c>
    </row>
    <row r="208" spans="1:13" ht="12.75" customHeight="1">
      <c r="A208" s="108" t="s">
        <v>310</v>
      </c>
      <c r="B208" s="86" t="s">
        <v>316</v>
      </c>
      <c r="C208" s="85" t="s">
        <v>18</v>
      </c>
      <c r="D208" s="85" t="s">
        <v>236</v>
      </c>
      <c r="E208" s="85" t="s">
        <v>317</v>
      </c>
      <c r="F208" s="87" t="s">
        <v>291</v>
      </c>
      <c r="G208" s="230">
        <v>51</v>
      </c>
      <c r="H208" s="111">
        <v>227</v>
      </c>
      <c r="I208" s="88">
        <f t="shared" si="28"/>
        <v>0.22466960352422907</v>
      </c>
      <c r="J208" s="75">
        <v>77.61</v>
      </c>
      <c r="K208" s="89">
        <f t="shared" si="29"/>
        <v>0.6571318129107074</v>
      </c>
      <c r="L208" s="75">
        <v>63.119</v>
      </c>
      <c r="M208" s="89">
        <f t="shared" si="30"/>
        <v>0.8079975918503145</v>
      </c>
    </row>
    <row r="209" spans="1:13" ht="12.75" customHeight="1">
      <c r="A209" s="108" t="s">
        <v>310</v>
      </c>
      <c r="B209" s="86" t="s">
        <v>316</v>
      </c>
      <c r="C209" s="85" t="s">
        <v>18</v>
      </c>
      <c r="D209" s="85" t="s">
        <v>191</v>
      </c>
      <c r="E209" s="85" t="s">
        <v>317</v>
      </c>
      <c r="F209" s="87" t="s">
        <v>238</v>
      </c>
      <c r="G209" s="230">
        <v>5</v>
      </c>
      <c r="H209" s="111">
        <v>10</v>
      </c>
      <c r="I209" s="88">
        <f t="shared" si="28"/>
        <v>0.5</v>
      </c>
      <c r="J209" s="75">
        <v>10</v>
      </c>
      <c r="K209" s="89">
        <f t="shared" si="29"/>
        <v>0.5</v>
      </c>
      <c r="L209" s="75">
        <v>1.19</v>
      </c>
      <c r="M209" s="89">
        <f t="shared" si="30"/>
        <v>4.201680672268908</v>
      </c>
    </row>
    <row r="210" spans="1:13" ht="12.75" customHeight="1">
      <c r="A210" s="108" t="s">
        <v>310</v>
      </c>
      <c r="B210" s="86" t="s">
        <v>316</v>
      </c>
      <c r="C210" s="85" t="s">
        <v>18</v>
      </c>
      <c r="D210" s="85" t="s">
        <v>193</v>
      </c>
      <c r="E210" s="85" t="s">
        <v>317</v>
      </c>
      <c r="F210" s="87" t="s">
        <v>239</v>
      </c>
      <c r="G210" s="230">
        <v>16</v>
      </c>
      <c r="H210" s="111">
        <v>42</v>
      </c>
      <c r="I210" s="88">
        <f t="shared" si="28"/>
        <v>0.38095238095238093</v>
      </c>
      <c r="J210" s="75">
        <v>17.39</v>
      </c>
      <c r="K210" s="89">
        <f t="shared" si="29"/>
        <v>0.9200690051753881</v>
      </c>
      <c r="L210" s="75">
        <v>7.249</v>
      </c>
      <c r="M210" s="89">
        <f t="shared" si="30"/>
        <v>2.207200993240447</v>
      </c>
    </row>
    <row r="211" spans="1:13" ht="12.75" customHeight="1">
      <c r="A211" s="108" t="s">
        <v>310</v>
      </c>
      <c r="B211" s="86" t="s">
        <v>316</v>
      </c>
      <c r="C211" s="85" t="s">
        <v>18</v>
      </c>
      <c r="D211" s="85" t="s">
        <v>256</v>
      </c>
      <c r="E211" s="85" t="s">
        <v>317</v>
      </c>
      <c r="F211" s="87" t="s">
        <v>257</v>
      </c>
      <c r="G211" s="230">
        <v>10</v>
      </c>
      <c r="H211" s="111">
        <v>11</v>
      </c>
      <c r="I211" s="88">
        <f t="shared" si="28"/>
        <v>0.9090909090909091</v>
      </c>
      <c r="J211" s="75">
        <v>5.96</v>
      </c>
      <c r="K211" s="89">
        <f t="shared" si="29"/>
        <v>1.6778523489932886</v>
      </c>
      <c r="L211" s="75">
        <v>5.521</v>
      </c>
      <c r="M211" s="89">
        <f t="shared" si="30"/>
        <v>1.8112660749864156</v>
      </c>
    </row>
    <row r="212" spans="1:13" ht="12.75" customHeight="1" thickBot="1">
      <c r="A212" s="108" t="s">
        <v>310</v>
      </c>
      <c r="B212" s="86" t="s">
        <v>316</v>
      </c>
      <c r="C212" s="85" t="s">
        <v>18</v>
      </c>
      <c r="D212" s="85" t="s">
        <v>259</v>
      </c>
      <c r="E212" s="85" t="s">
        <v>317</v>
      </c>
      <c r="F212" s="87" t="s">
        <v>260</v>
      </c>
      <c r="G212" s="230">
        <v>4</v>
      </c>
      <c r="H212" s="111">
        <v>0</v>
      </c>
      <c r="I212" s="88">
        <f t="shared" si="28"/>
        <v>0</v>
      </c>
      <c r="J212" s="75">
        <v>0</v>
      </c>
      <c r="K212" s="89">
        <f t="shared" si="29"/>
        <v>0</v>
      </c>
      <c r="L212" s="75">
        <v>0</v>
      </c>
      <c r="M212" s="89">
        <f t="shared" si="30"/>
        <v>0</v>
      </c>
    </row>
    <row r="213" spans="1:15" ht="12.75" customHeight="1">
      <c r="A213" s="109"/>
      <c r="B213" s="91" t="s">
        <v>11</v>
      </c>
      <c r="C213" s="90" t="s">
        <v>18</v>
      </c>
      <c r="D213" s="90"/>
      <c r="E213" s="90"/>
      <c r="F213" s="92"/>
      <c r="G213" s="231">
        <f aca="true" t="shared" si="31" ref="G213:L213">SUM(G198:G212)</f>
        <v>1979</v>
      </c>
      <c r="H213" s="93">
        <f t="shared" si="31"/>
        <v>4878</v>
      </c>
      <c r="I213" s="94">
        <f t="shared" si="28"/>
        <v>0.4056990569905699</v>
      </c>
      <c r="J213" s="93">
        <f t="shared" si="31"/>
        <v>2877.7300000000005</v>
      </c>
      <c r="K213" s="94">
        <f t="shared" si="29"/>
        <v>0.6876948150104422</v>
      </c>
      <c r="L213" s="93">
        <f t="shared" si="31"/>
        <v>2980.5599999999995</v>
      </c>
      <c r="M213" s="94">
        <f t="shared" si="30"/>
        <v>0.6639691869984166</v>
      </c>
      <c r="O213" s="80"/>
    </row>
    <row r="214" spans="9:13" ht="12.75" customHeight="1">
      <c r="I214" s="88"/>
      <c r="K214" s="89"/>
      <c r="M214" s="89"/>
    </row>
    <row r="215" spans="1:15" ht="12.75" customHeight="1">
      <c r="A215" s="107"/>
      <c r="B215" s="95" t="s">
        <v>319</v>
      </c>
      <c r="C215" s="81"/>
      <c r="D215" s="81"/>
      <c r="E215" s="81"/>
      <c r="F215" s="96"/>
      <c r="G215" s="232">
        <f>SUM(G196,G213)</f>
        <v>2579</v>
      </c>
      <c r="H215" s="103">
        <f>SUM(H196,H213)</f>
        <v>5578</v>
      </c>
      <c r="I215" s="98">
        <f>IF(H215=0,0,$G215/H215)</f>
        <v>0.462352097525995</v>
      </c>
      <c r="J215" s="97">
        <f>SUM(J196,J213)</f>
        <v>3577.7300000000005</v>
      </c>
      <c r="K215" s="99">
        <f>IF(J215=0,0,$G215/J215)</f>
        <v>0.7208481355496361</v>
      </c>
      <c r="L215" s="97">
        <f>SUM(L196,L213)</f>
        <v>3124.5599999999995</v>
      </c>
      <c r="M215" s="99">
        <f>IF(L215=0,0,$G215/L215)</f>
        <v>0.8253962157871829</v>
      </c>
      <c r="O215" s="80"/>
    </row>
    <row r="216" spans="9:13" ht="12.75" customHeight="1">
      <c r="I216" s="88"/>
      <c r="K216" s="89"/>
      <c r="M216" s="89"/>
    </row>
    <row r="217" spans="9:13" ht="12.75" customHeight="1">
      <c r="I217" s="88"/>
      <c r="K217" s="89"/>
      <c r="M217" s="89"/>
    </row>
    <row r="218" spans="1:13" ht="12.75" customHeight="1">
      <c r="A218" s="108" t="s">
        <v>41</v>
      </c>
      <c r="B218" s="86" t="s">
        <v>320</v>
      </c>
      <c r="C218" s="85" t="s">
        <v>18</v>
      </c>
      <c r="D218" s="85" t="s">
        <v>266</v>
      </c>
      <c r="E218" s="85" t="s">
        <v>321</v>
      </c>
      <c r="F218" s="87" t="s">
        <v>791</v>
      </c>
      <c r="G218" s="230">
        <v>6012</v>
      </c>
      <c r="H218" s="111">
        <v>5870</v>
      </c>
      <c r="I218" s="88">
        <f aca="true" t="shared" si="32" ref="I218:I235">IF(H218=0,0,$G218/H218)</f>
        <v>1.024190800681431</v>
      </c>
      <c r="J218" s="75">
        <v>5985.95</v>
      </c>
      <c r="K218" s="89">
        <f aca="true" t="shared" si="33" ref="K218:K235">IF(J218=0,0,$G218/J218)</f>
        <v>1.004351857265764</v>
      </c>
      <c r="L218" s="75">
        <v>4958.851</v>
      </c>
      <c r="M218" s="89">
        <f aca="true" t="shared" si="34" ref="M218:M235">IF(L218=0,0,$G218/L218)</f>
        <v>1.2123776253813636</v>
      </c>
    </row>
    <row r="219" spans="1:13" ht="12.75" customHeight="1">
      <c r="A219" s="108" t="s">
        <v>41</v>
      </c>
      <c r="B219" s="86" t="s">
        <v>320</v>
      </c>
      <c r="C219" s="85" t="s">
        <v>18</v>
      </c>
      <c r="D219" s="85" t="s">
        <v>220</v>
      </c>
      <c r="E219" s="85" t="s">
        <v>321</v>
      </c>
      <c r="F219" s="87" t="s">
        <v>322</v>
      </c>
      <c r="G219" s="230">
        <v>1503</v>
      </c>
      <c r="H219" s="111">
        <v>1468</v>
      </c>
      <c r="I219" s="88">
        <f t="shared" si="32"/>
        <v>1.0238419618528611</v>
      </c>
      <c r="J219" s="75">
        <v>1497.98</v>
      </c>
      <c r="K219" s="89">
        <f t="shared" si="33"/>
        <v>1.0033511795885126</v>
      </c>
      <c r="L219" s="75">
        <v>1223.524</v>
      </c>
      <c r="M219" s="89">
        <f t="shared" si="34"/>
        <v>1.2284188949297277</v>
      </c>
    </row>
    <row r="220" spans="1:13" ht="12.75" customHeight="1">
      <c r="A220" s="108" t="s">
        <v>41</v>
      </c>
      <c r="B220" s="86" t="s">
        <v>320</v>
      </c>
      <c r="C220" s="85" t="s">
        <v>18</v>
      </c>
      <c r="D220" s="85" t="s">
        <v>222</v>
      </c>
      <c r="E220" s="85" t="s">
        <v>321</v>
      </c>
      <c r="F220" s="87" t="s">
        <v>287</v>
      </c>
      <c r="G220" s="230">
        <v>541</v>
      </c>
      <c r="H220" s="111">
        <v>529</v>
      </c>
      <c r="I220" s="88">
        <f t="shared" si="32"/>
        <v>1.0226843100189036</v>
      </c>
      <c r="J220" s="75">
        <v>539.79</v>
      </c>
      <c r="K220" s="89">
        <f t="shared" si="33"/>
        <v>1.002241612478927</v>
      </c>
      <c r="L220" s="75">
        <v>440.474</v>
      </c>
      <c r="M220" s="89">
        <f t="shared" si="34"/>
        <v>1.2282223241326389</v>
      </c>
    </row>
    <row r="221" spans="1:13" ht="12.75" customHeight="1">
      <c r="A221" s="108" t="s">
        <v>41</v>
      </c>
      <c r="B221" s="86" t="s">
        <v>320</v>
      </c>
      <c r="C221" s="85" t="s">
        <v>18</v>
      </c>
      <c r="D221" s="85" t="s">
        <v>253</v>
      </c>
      <c r="E221" s="85" t="s">
        <v>321</v>
      </c>
      <c r="F221" s="87" t="s">
        <v>254</v>
      </c>
      <c r="G221" s="230">
        <v>6</v>
      </c>
      <c r="H221" s="111">
        <v>6</v>
      </c>
      <c r="I221" s="88">
        <f t="shared" si="32"/>
        <v>1</v>
      </c>
      <c r="J221" s="75">
        <v>6</v>
      </c>
      <c r="K221" s="89">
        <f t="shared" si="33"/>
        <v>1</v>
      </c>
      <c r="L221" s="75">
        <v>5.152</v>
      </c>
      <c r="M221" s="89">
        <f t="shared" si="34"/>
        <v>1.1645962732919255</v>
      </c>
    </row>
    <row r="222" spans="1:13" ht="12.75" customHeight="1">
      <c r="A222" s="108" t="s">
        <v>41</v>
      </c>
      <c r="B222" s="86" t="s">
        <v>320</v>
      </c>
      <c r="C222" s="85" t="s">
        <v>18</v>
      </c>
      <c r="D222" s="85" t="s">
        <v>227</v>
      </c>
      <c r="E222" s="85" t="s">
        <v>321</v>
      </c>
      <c r="F222" s="87" t="s">
        <v>228</v>
      </c>
      <c r="G222" s="230">
        <v>30</v>
      </c>
      <c r="H222" s="111">
        <v>45</v>
      </c>
      <c r="I222" s="88">
        <f t="shared" si="32"/>
        <v>0.6666666666666666</v>
      </c>
      <c r="J222" s="75">
        <f>45-20</f>
        <v>25</v>
      </c>
      <c r="K222" s="89">
        <f t="shared" si="33"/>
        <v>1.2</v>
      </c>
      <c r="L222" s="75">
        <v>12.54</v>
      </c>
      <c r="M222" s="89">
        <f t="shared" si="34"/>
        <v>2.3923444976076556</v>
      </c>
    </row>
    <row r="223" spans="1:13" ht="12.75" customHeight="1">
      <c r="A223" s="108" t="s">
        <v>41</v>
      </c>
      <c r="B223" s="86" t="s">
        <v>320</v>
      </c>
      <c r="C223" s="85" t="s">
        <v>18</v>
      </c>
      <c r="D223" s="85" t="s">
        <v>176</v>
      </c>
      <c r="E223" s="85" t="s">
        <v>321</v>
      </c>
      <c r="F223" s="87" t="s">
        <v>178</v>
      </c>
      <c r="G223" s="230">
        <v>20</v>
      </c>
      <c r="H223" s="111">
        <v>20</v>
      </c>
      <c r="I223" s="88">
        <f t="shared" si="32"/>
        <v>1</v>
      </c>
      <c r="J223" s="75">
        <v>20</v>
      </c>
      <c r="K223" s="89">
        <f t="shared" si="33"/>
        <v>1</v>
      </c>
      <c r="L223" s="75">
        <v>14.712</v>
      </c>
      <c r="M223" s="89">
        <f t="shared" si="34"/>
        <v>1.3594344752582925</v>
      </c>
    </row>
    <row r="224" spans="1:13" ht="12.75" customHeight="1">
      <c r="A224" s="108" t="s">
        <v>41</v>
      </c>
      <c r="B224" s="86" t="s">
        <v>320</v>
      </c>
      <c r="C224" s="85" t="s">
        <v>18</v>
      </c>
      <c r="D224" s="85" t="s">
        <v>233</v>
      </c>
      <c r="E224" s="85" t="s">
        <v>321</v>
      </c>
      <c r="F224" s="87" t="s">
        <v>234</v>
      </c>
      <c r="G224" s="230">
        <v>35</v>
      </c>
      <c r="H224" s="111">
        <v>26</v>
      </c>
      <c r="I224" s="88">
        <f t="shared" si="32"/>
        <v>1.3461538461538463</v>
      </c>
      <c r="J224" s="75">
        <v>37</v>
      </c>
      <c r="K224" s="89">
        <f t="shared" si="33"/>
        <v>0.9459459459459459</v>
      </c>
      <c r="L224" s="75">
        <v>30.032</v>
      </c>
      <c r="M224" s="89">
        <f t="shared" si="34"/>
        <v>1.165423548215237</v>
      </c>
    </row>
    <row r="225" spans="1:13" ht="12.75" customHeight="1">
      <c r="A225" s="108" t="s">
        <v>41</v>
      </c>
      <c r="B225" s="86" t="s">
        <v>320</v>
      </c>
      <c r="C225" s="85" t="s">
        <v>18</v>
      </c>
      <c r="D225" s="85" t="s">
        <v>187</v>
      </c>
      <c r="E225" s="85" t="s">
        <v>321</v>
      </c>
      <c r="F225" s="87" t="s">
        <v>302</v>
      </c>
      <c r="G225" s="230">
        <v>13</v>
      </c>
      <c r="H225" s="111">
        <v>9</v>
      </c>
      <c r="I225" s="88">
        <f t="shared" si="32"/>
        <v>1.4444444444444444</v>
      </c>
      <c r="J225" s="75">
        <v>14</v>
      </c>
      <c r="K225" s="89">
        <f t="shared" si="33"/>
        <v>0.9285714285714286</v>
      </c>
      <c r="L225" s="75">
        <v>9.871</v>
      </c>
      <c r="M225" s="89">
        <f t="shared" si="34"/>
        <v>1.3169891601661432</v>
      </c>
    </row>
    <row r="226" spans="1:13" ht="12.75" customHeight="1">
      <c r="A226" s="108" t="s">
        <v>41</v>
      </c>
      <c r="B226" s="86" t="s">
        <v>320</v>
      </c>
      <c r="C226" s="85" t="s">
        <v>18</v>
      </c>
      <c r="D226" s="85" t="s">
        <v>236</v>
      </c>
      <c r="E226" s="85" t="s">
        <v>321</v>
      </c>
      <c r="F226" s="87" t="s">
        <v>291</v>
      </c>
      <c r="G226" s="230">
        <v>173.4</v>
      </c>
      <c r="H226" s="111">
        <v>195</v>
      </c>
      <c r="I226" s="88">
        <f t="shared" si="32"/>
        <v>0.8892307692307693</v>
      </c>
      <c r="J226" s="75">
        <v>89.82</v>
      </c>
      <c r="K226" s="89">
        <f t="shared" si="33"/>
        <v>1.9305277221108887</v>
      </c>
      <c r="L226" s="75">
        <v>69.923</v>
      </c>
      <c r="M226" s="89">
        <f t="shared" si="34"/>
        <v>2.4798707149292794</v>
      </c>
    </row>
    <row r="227" spans="1:13" ht="12.75" customHeight="1">
      <c r="A227" s="108" t="s">
        <v>41</v>
      </c>
      <c r="B227" s="86" t="s">
        <v>323</v>
      </c>
      <c r="C227" s="85" t="s">
        <v>18</v>
      </c>
      <c r="D227" s="85" t="s">
        <v>236</v>
      </c>
      <c r="E227" s="85" t="s">
        <v>324</v>
      </c>
      <c r="F227" s="87" t="s">
        <v>323</v>
      </c>
      <c r="G227" s="230">
        <v>28</v>
      </c>
      <c r="H227" s="111">
        <v>0</v>
      </c>
      <c r="I227" s="88">
        <f t="shared" si="32"/>
        <v>0</v>
      </c>
      <c r="J227" s="75">
        <v>0</v>
      </c>
      <c r="K227" s="89">
        <f t="shared" si="33"/>
        <v>0</v>
      </c>
      <c r="L227" s="75">
        <v>0</v>
      </c>
      <c r="M227" s="89">
        <f t="shared" si="34"/>
        <v>0</v>
      </c>
    </row>
    <row r="228" spans="1:13" ht="12.75" customHeight="1">
      <c r="A228" s="108" t="s">
        <v>41</v>
      </c>
      <c r="B228" s="86" t="s">
        <v>323</v>
      </c>
      <c r="C228" s="85" t="s">
        <v>18</v>
      </c>
      <c r="D228" s="85" t="s">
        <v>191</v>
      </c>
      <c r="E228" s="85" t="s">
        <v>321</v>
      </c>
      <c r="F228" s="87" t="s">
        <v>238</v>
      </c>
      <c r="G228" s="230">
        <v>0</v>
      </c>
      <c r="H228" s="111">
        <v>60</v>
      </c>
      <c r="I228" s="88">
        <f t="shared" si="32"/>
        <v>0</v>
      </c>
      <c r="J228" s="75">
        <v>60</v>
      </c>
      <c r="K228" s="89">
        <f t="shared" si="33"/>
        <v>0</v>
      </c>
      <c r="L228" s="75">
        <v>30.039</v>
      </c>
      <c r="M228" s="89">
        <f t="shared" si="34"/>
        <v>0</v>
      </c>
    </row>
    <row r="229" spans="1:13" ht="12.75" customHeight="1">
      <c r="A229" s="108" t="s">
        <v>41</v>
      </c>
      <c r="B229" s="86" t="s">
        <v>320</v>
      </c>
      <c r="C229" s="85" t="s">
        <v>18</v>
      </c>
      <c r="D229" s="85" t="s">
        <v>193</v>
      </c>
      <c r="E229" s="85" t="s">
        <v>321</v>
      </c>
      <c r="F229" s="87" t="s">
        <v>239</v>
      </c>
      <c r="G229" s="230">
        <v>11</v>
      </c>
      <c r="H229" s="111">
        <v>11</v>
      </c>
      <c r="I229" s="88">
        <f t="shared" si="32"/>
        <v>1</v>
      </c>
      <c r="J229" s="75">
        <v>11</v>
      </c>
      <c r="K229" s="89">
        <f t="shared" si="33"/>
        <v>1</v>
      </c>
      <c r="L229" s="75">
        <v>0.6</v>
      </c>
      <c r="M229" s="89">
        <f t="shared" si="34"/>
        <v>18.333333333333336</v>
      </c>
    </row>
    <row r="230" spans="1:13" ht="12.75" customHeight="1">
      <c r="A230" s="108" t="s">
        <v>41</v>
      </c>
      <c r="B230" s="86" t="s">
        <v>320</v>
      </c>
      <c r="C230" s="85" t="s">
        <v>18</v>
      </c>
      <c r="D230" s="85" t="s">
        <v>256</v>
      </c>
      <c r="E230" s="85" t="s">
        <v>321</v>
      </c>
      <c r="F230" s="87" t="s">
        <v>257</v>
      </c>
      <c r="G230" s="230">
        <v>54</v>
      </c>
      <c r="H230" s="111">
        <v>52</v>
      </c>
      <c r="I230" s="88">
        <f t="shared" si="32"/>
        <v>1.0384615384615385</v>
      </c>
      <c r="J230" s="75">
        <v>36</v>
      </c>
      <c r="K230" s="89">
        <f t="shared" si="33"/>
        <v>1.5</v>
      </c>
      <c r="L230" s="75">
        <v>27.488</v>
      </c>
      <c r="M230" s="89">
        <f t="shared" si="34"/>
        <v>1.9644935972060535</v>
      </c>
    </row>
    <row r="231" spans="1:13" ht="12.75" customHeight="1">
      <c r="A231" s="108" t="s">
        <v>41</v>
      </c>
      <c r="B231" s="86" t="s">
        <v>320</v>
      </c>
      <c r="C231" s="85" t="s">
        <v>18</v>
      </c>
      <c r="D231" s="85" t="s">
        <v>195</v>
      </c>
      <c r="E231" s="85" t="s">
        <v>321</v>
      </c>
      <c r="F231" s="87" t="s">
        <v>258</v>
      </c>
      <c r="G231" s="230">
        <v>1</v>
      </c>
      <c r="H231" s="111">
        <v>1</v>
      </c>
      <c r="I231" s="88">
        <f t="shared" si="32"/>
        <v>1</v>
      </c>
      <c r="J231" s="75">
        <v>1</v>
      </c>
      <c r="K231" s="89">
        <f t="shared" si="33"/>
        <v>1</v>
      </c>
      <c r="L231" s="75">
        <v>0</v>
      </c>
      <c r="M231" s="89">
        <f t="shared" si="34"/>
        <v>0</v>
      </c>
    </row>
    <row r="232" spans="1:13" ht="12.75" customHeight="1">
      <c r="A232" s="108" t="s">
        <v>41</v>
      </c>
      <c r="B232" s="86" t="s">
        <v>320</v>
      </c>
      <c r="C232" s="85" t="s">
        <v>18</v>
      </c>
      <c r="D232" s="85" t="s">
        <v>295</v>
      </c>
      <c r="E232" s="85" t="s">
        <v>321</v>
      </c>
      <c r="F232" s="87" t="s">
        <v>296</v>
      </c>
      <c r="G232" s="230">
        <v>2</v>
      </c>
      <c r="H232" s="111">
        <v>2</v>
      </c>
      <c r="I232" s="88">
        <f t="shared" si="32"/>
        <v>1</v>
      </c>
      <c r="J232" s="75">
        <v>2</v>
      </c>
      <c r="K232" s="89">
        <f t="shared" si="33"/>
        <v>1</v>
      </c>
      <c r="L232" s="75">
        <v>1.5</v>
      </c>
      <c r="M232" s="89">
        <f t="shared" si="34"/>
        <v>1.3333333333333333</v>
      </c>
    </row>
    <row r="233" spans="1:13" ht="12.75" customHeight="1">
      <c r="A233" s="108" t="s">
        <v>41</v>
      </c>
      <c r="B233" s="86" t="s">
        <v>320</v>
      </c>
      <c r="C233" s="85" t="s">
        <v>18</v>
      </c>
      <c r="D233" s="85" t="s">
        <v>635</v>
      </c>
      <c r="E233" s="85" t="s">
        <v>663</v>
      </c>
      <c r="F233" s="87" t="s">
        <v>664</v>
      </c>
      <c r="G233" s="230">
        <v>0</v>
      </c>
      <c r="H233" s="111">
        <v>225</v>
      </c>
      <c r="I233" s="88">
        <f t="shared" si="32"/>
        <v>0</v>
      </c>
      <c r="J233" s="75">
        <v>251.88</v>
      </c>
      <c r="K233" s="89">
        <f t="shared" si="33"/>
        <v>0</v>
      </c>
      <c r="L233" s="75">
        <v>198.122</v>
      </c>
      <c r="M233" s="89">
        <f t="shared" si="34"/>
        <v>0</v>
      </c>
    </row>
    <row r="234" spans="1:13" ht="12.75" customHeight="1" thickBot="1">
      <c r="A234" s="108" t="s">
        <v>41</v>
      </c>
      <c r="B234" s="86" t="s">
        <v>320</v>
      </c>
      <c r="C234" s="85" t="s">
        <v>18</v>
      </c>
      <c r="D234" s="85" t="s">
        <v>349</v>
      </c>
      <c r="E234" s="85" t="s">
        <v>321</v>
      </c>
      <c r="F234" s="87" t="s">
        <v>785</v>
      </c>
      <c r="G234" s="230">
        <v>0</v>
      </c>
      <c r="H234" s="111">
        <v>0</v>
      </c>
      <c r="I234" s="88">
        <f>IF(H234=0,0,$G234/H234)</f>
        <v>0</v>
      </c>
      <c r="J234" s="75">
        <v>20</v>
      </c>
      <c r="K234" s="89">
        <f>IF(J234=0,0,$G234/J234)</f>
        <v>0</v>
      </c>
      <c r="L234" s="75">
        <v>0</v>
      </c>
      <c r="M234" s="89">
        <f>IF(L234=0,0,$G234/L234)</f>
        <v>0</v>
      </c>
    </row>
    <row r="235" spans="1:15" ht="12.75" customHeight="1">
      <c r="A235" s="109"/>
      <c r="B235" s="91" t="s">
        <v>11</v>
      </c>
      <c r="C235" s="90" t="s">
        <v>18</v>
      </c>
      <c r="D235" s="90"/>
      <c r="E235" s="90"/>
      <c r="F235" s="92"/>
      <c r="G235" s="231">
        <f aca="true" t="shared" si="35" ref="G235:L235">SUM(G218:G234)</f>
        <v>8429.4</v>
      </c>
      <c r="H235" s="93">
        <f t="shared" si="35"/>
        <v>8519</v>
      </c>
      <c r="I235" s="94">
        <f t="shared" si="32"/>
        <v>0.9894823336072308</v>
      </c>
      <c r="J235" s="93">
        <f t="shared" si="35"/>
        <v>8597.42</v>
      </c>
      <c r="K235" s="94">
        <f t="shared" si="33"/>
        <v>0.9804569277760071</v>
      </c>
      <c r="L235" s="93">
        <f t="shared" si="35"/>
        <v>7022.828000000001</v>
      </c>
      <c r="M235" s="94">
        <f t="shared" si="34"/>
        <v>1.2002856968731113</v>
      </c>
      <c r="O235" s="80"/>
    </row>
    <row r="236" spans="9:13" ht="12.75" customHeight="1">
      <c r="I236" s="88"/>
      <c r="K236" s="89"/>
      <c r="M236" s="89"/>
    </row>
    <row r="237" spans="1:15" ht="12.75" customHeight="1">
      <c r="A237" s="107"/>
      <c r="B237" s="95" t="s">
        <v>46</v>
      </c>
      <c r="C237" s="81"/>
      <c r="D237" s="81"/>
      <c r="E237" s="81"/>
      <c r="F237" s="96"/>
      <c r="G237" s="232">
        <f>SUM(G235)</f>
        <v>8429.4</v>
      </c>
      <c r="H237" s="103">
        <f>SUM(H235)</f>
        <v>8519</v>
      </c>
      <c r="I237" s="98">
        <f>IF(H237=0,0,$G237/H237)</f>
        <v>0.9894823336072308</v>
      </c>
      <c r="J237" s="97">
        <f>SUM(J235)</f>
        <v>8597.42</v>
      </c>
      <c r="K237" s="99">
        <f>IF(J237=0,0,$G237/J237)</f>
        <v>0.9804569277760071</v>
      </c>
      <c r="L237" s="97">
        <f>SUM(L235)</f>
        <v>7022.828000000001</v>
      </c>
      <c r="M237" s="99">
        <f>IF(L237=0,0,$G237/L237)</f>
        <v>1.2002856968731113</v>
      </c>
      <c r="O237" s="80"/>
    </row>
    <row r="238" spans="9:13" ht="12.75" customHeight="1">
      <c r="I238" s="88"/>
      <c r="K238" s="89"/>
      <c r="M238" s="89"/>
    </row>
    <row r="239" spans="9:13" ht="12.75" customHeight="1">
      <c r="I239" s="88"/>
      <c r="K239" s="89"/>
      <c r="M239" s="89"/>
    </row>
    <row r="240" spans="1:13" ht="12.75" customHeight="1">
      <c r="A240" s="108" t="s">
        <v>47</v>
      </c>
      <c r="B240" s="86" t="s">
        <v>325</v>
      </c>
      <c r="C240" s="85" t="s">
        <v>18</v>
      </c>
      <c r="D240" s="85" t="s">
        <v>266</v>
      </c>
      <c r="E240" s="85" t="s">
        <v>326</v>
      </c>
      <c r="F240" s="87" t="s">
        <v>793</v>
      </c>
      <c r="G240" s="230">
        <v>6349</v>
      </c>
      <c r="H240" s="111">
        <v>6070</v>
      </c>
      <c r="I240" s="88">
        <f aca="true" t="shared" si="36" ref="I240:I257">IF(H240=0,0,$G240/H240)</f>
        <v>1.0459637561779243</v>
      </c>
      <c r="J240" s="75">
        <v>6179.69</v>
      </c>
      <c r="K240" s="89">
        <f aca="true" t="shared" si="37" ref="K240:K257">IF(J240=0,0,$G240/J240)</f>
        <v>1.0273978144534759</v>
      </c>
      <c r="L240" s="75">
        <f>5019.353-2.011</f>
        <v>5017.342</v>
      </c>
      <c r="M240" s="89">
        <f aca="true" t="shared" si="38" ref="M240:M257">IF(L240=0,0,$G240/L240)</f>
        <v>1.265411048320007</v>
      </c>
    </row>
    <row r="241" spans="1:13" ht="12.75" customHeight="1">
      <c r="A241" s="108" t="s">
        <v>47</v>
      </c>
      <c r="B241" s="86" t="s">
        <v>325</v>
      </c>
      <c r="C241" s="85" t="s">
        <v>18</v>
      </c>
      <c r="D241" s="85" t="s">
        <v>220</v>
      </c>
      <c r="E241" s="85" t="s">
        <v>326</v>
      </c>
      <c r="F241" s="87" t="s">
        <v>286</v>
      </c>
      <c r="G241" s="230">
        <v>1589</v>
      </c>
      <c r="H241" s="111">
        <v>1518</v>
      </c>
      <c r="I241" s="88">
        <f t="shared" si="36"/>
        <v>1.046772068511199</v>
      </c>
      <c r="J241" s="75">
        <v>1545.42</v>
      </c>
      <c r="K241" s="89">
        <f t="shared" si="37"/>
        <v>1.0281994538701453</v>
      </c>
      <c r="L241" s="75">
        <v>1268.798</v>
      </c>
      <c r="M241" s="89">
        <f t="shared" si="38"/>
        <v>1.2523664129357077</v>
      </c>
    </row>
    <row r="242" spans="1:13" ht="12.75" customHeight="1">
      <c r="A242" s="108" t="s">
        <v>47</v>
      </c>
      <c r="B242" s="86" t="s">
        <v>325</v>
      </c>
      <c r="C242" s="85" t="s">
        <v>18</v>
      </c>
      <c r="D242" s="85" t="s">
        <v>222</v>
      </c>
      <c r="E242" s="85" t="s">
        <v>326</v>
      </c>
      <c r="F242" s="87" t="s">
        <v>287</v>
      </c>
      <c r="G242" s="230">
        <v>572</v>
      </c>
      <c r="H242" s="111">
        <v>546</v>
      </c>
      <c r="I242" s="88">
        <f t="shared" si="36"/>
        <v>1.0476190476190477</v>
      </c>
      <c r="J242" s="75">
        <v>555.87</v>
      </c>
      <c r="K242" s="89">
        <f t="shared" si="37"/>
        <v>1.0290175760519547</v>
      </c>
      <c r="L242" s="75">
        <v>456.733</v>
      </c>
      <c r="M242" s="89">
        <f t="shared" si="38"/>
        <v>1.2523728305158595</v>
      </c>
    </row>
    <row r="243" spans="1:13" ht="12.75" customHeight="1">
      <c r="A243" s="108" t="s">
        <v>47</v>
      </c>
      <c r="B243" s="86" t="s">
        <v>325</v>
      </c>
      <c r="C243" s="85" t="s">
        <v>18</v>
      </c>
      <c r="D243" s="85" t="s">
        <v>253</v>
      </c>
      <c r="E243" s="85" t="s">
        <v>326</v>
      </c>
      <c r="F243" s="87" t="s">
        <v>254</v>
      </c>
      <c r="G243" s="230">
        <v>3</v>
      </c>
      <c r="H243" s="111">
        <v>10</v>
      </c>
      <c r="I243" s="88">
        <f t="shared" si="36"/>
        <v>0.3</v>
      </c>
      <c r="J243" s="75">
        <v>10</v>
      </c>
      <c r="K243" s="89">
        <f t="shared" si="37"/>
        <v>0.3</v>
      </c>
      <c r="L243" s="75">
        <v>2.85</v>
      </c>
      <c r="M243" s="89">
        <f t="shared" si="38"/>
        <v>1.0526315789473684</v>
      </c>
    </row>
    <row r="244" spans="1:13" ht="12.75" customHeight="1">
      <c r="A244" s="108" t="s">
        <v>47</v>
      </c>
      <c r="B244" s="86" t="s">
        <v>325</v>
      </c>
      <c r="C244" s="85" t="s">
        <v>18</v>
      </c>
      <c r="D244" s="85" t="s">
        <v>227</v>
      </c>
      <c r="E244" s="85" t="s">
        <v>326</v>
      </c>
      <c r="F244" s="87" t="s">
        <v>327</v>
      </c>
      <c r="G244" s="230">
        <v>70</v>
      </c>
      <c r="H244" s="111">
        <v>30</v>
      </c>
      <c r="I244" s="88">
        <f t="shared" si="36"/>
        <v>2.3333333333333335</v>
      </c>
      <c r="J244" s="75">
        <v>64.77</v>
      </c>
      <c r="K244" s="89">
        <f t="shared" si="37"/>
        <v>1.0807472595337348</v>
      </c>
      <c r="L244" s="75">
        <v>44.102</v>
      </c>
      <c r="M244" s="89">
        <f t="shared" si="38"/>
        <v>1.5872296040995875</v>
      </c>
    </row>
    <row r="245" spans="1:13" ht="12.75" customHeight="1">
      <c r="A245" s="108" t="s">
        <v>47</v>
      </c>
      <c r="B245" s="86" t="s">
        <v>325</v>
      </c>
      <c r="C245" s="85" t="s">
        <v>18</v>
      </c>
      <c r="D245" s="85" t="s">
        <v>176</v>
      </c>
      <c r="E245" s="85" t="s">
        <v>326</v>
      </c>
      <c r="F245" s="87" t="s">
        <v>178</v>
      </c>
      <c r="G245" s="230">
        <v>20</v>
      </c>
      <c r="H245" s="111">
        <v>25</v>
      </c>
      <c r="I245" s="88">
        <f t="shared" si="36"/>
        <v>0.8</v>
      </c>
      <c r="J245" s="75">
        <v>25</v>
      </c>
      <c r="K245" s="89">
        <f t="shared" si="37"/>
        <v>0.8</v>
      </c>
      <c r="L245" s="75">
        <v>10.128</v>
      </c>
      <c r="M245" s="89">
        <f t="shared" si="38"/>
        <v>1.9747235387045814</v>
      </c>
    </row>
    <row r="246" spans="1:13" ht="12.75" customHeight="1">
      <c r="A246" s="108" t="s">
        <v>47</v>
      </c>
      <c r="B246" s="86" t="s">
        <v>325</v>
      </c>
      <c r="C246" s="85" t="s">
        <v>18</v>
      </c>
      <c r="D246" s="85" t="s">
        <v>233</v>
      </c>
      <c r="E246" s="85" t="s">
        <v>326</v>
      </c>
      <c r="F246" s="87" t="s">
        <v>234</v>
      </c>
      <c r="G246" s="230">
        <v>25</v>
      </c>
      <c r="H246" s="111">
        <v>20</v>
      </c>
      <c r="I246" s="88">
        <f t="shared" si="36"/>
        <v>1.25</v>
      </c>
      <c r="J246" s="75">
        <v>20</v>
      </c>
      <c r="K246" s="89">
        <f t="shared" si="37"/>
        <v>1.25</v>
      </c>
      <c r="L246" s="75">
        <v>8.587</v>
      </c>
      <c r="M246" s="89">
        <f t="shared" si="38"/>
        <v>2.9113776639105624</v>
      </c>
    </row>
    <row r="247" spans="1:13" ht="12.75" customHeight="1">
      <c r="A247" s="108" t="s">
        <v>47</v>
      </c>
      <c r="B247" s="86" t="s">
        <v>325</v>
      </c>
      <c r="C247" s="85" t="s">
        <v>18</v>
      </c>
      <c r="D247" s="85" t="s">
        <v>187</v>
      </c>
      <c r="E247" s="85" t="s">
        <v>326</v>
      </c>
      <c r="F247" s="87" t="s">
        <v>302</v>
      </c>
      <c r="G247" s="230">
        <v>7</v>
      </c>
      <c r="H247" s="111">
        <v>9.2</v>
      </c>
      <c r="I247" s="88">
        <f t="shared" si="36"/>
        <v>0.7608695652173914</v>
      </c>
      <c r="J247" s="75">
        <v>9.2</v>
      </c>
      <c r="K247" s="89">
        <f t="shared" si="37"/>
        <v>0.7608695652173914</v>
      </c>
      <c r="L247" s="75">
        <v>5.605</v>
      </c>
      <c r="M247" s="89">
        <f t="shared" si="38"/>
        <v>1.2488849241748439</v>
      </c>
    </row>
    <row r="248" spans="1:13" ht="12.75" customHeight="1">
      <c r="A248" s="108" t="s">
        <v>47</v>
      </c>
      <c r="B248" s="86" t="s">
        <v>325</v>
      </c>
      <c r="C248" s="85" t="s">
        <v>18</v>
      </c>
      <c r="D248" s="85" t="s">
        <v>189</v>
      </c>
      <c r="E248" s="85" t="s">
        <v>326</v>
      </c>
      <c r="F248" s="87" t="s">
        <v>665</v>
      </c>
      <c r="G248" s="230">
        <v>15</v>
      </c>
      <c r="H248" s="111">
        <v>20</v>
      </c>
      <c r="I248" s="88">
        <f t="shared" si="36"/>
        <v>0.75</v>
      </c>
      <c r="J248" s="75">
        <v>5</v>
      </c>
      <c r="K248" s="89">
        <f t="shared" si="37"/>
        <v>3</v>
      </c>
      <c r="L248" s="75">
        <v>0</v>
      </c>
      <c r="M248" s="89">
        <f t="shared" si="38"/>
        <v>0</v>
      </c>
    </row>
    <row r="249" spans="1:13" ht="12.75" customHeight="1">
      <c r="A249" s="108" t="s">
        <v>47</v>
      </c>
      <c r="B249" s="86" t="s">
        <v>325</v>
      </c>
      <c r="C249" s="85" t="s">
        <v>18</v>
      </c>
      <c r="D249" s="85" t="s">
        <v>236</v>
      </c>
      <c r="E249" s="85" t="s">
        <v>326</v>
      </c>
      <c r="F249" s="87" t="s">
        <v>291</v>
      </c>
      <c r="G249" s="230">
        <v>209.1</v>
      </c>
      <c r="H249" s="111">
        <v>377</v>
      </c>
      <c r="I249" s="88">
        <f t="shared" si="36"/>
        <v>0.5546419098143236</v>
      </c>
      <c r="J249" s="75">
        <v>122.66</v>
      </c>
      <c r="K249" s="89">
        <f t="shared" si="37"/>
        <v>1.7047122126202512</v>
      </c>
      <c r="L249" s="75">
        <v>106.909</v>
      </c>
      <c r="M249" s="89">
        <f t="shared" si="38"/>
        <v>1.9558690100926954</v>
      </c>
    </row>
    <row r="250" spans="1:13" ht="12.75" customHeight="1">
      <c r="A250" s="108" t="s">
        <v>47</v>
      </c>
      <c r="B250" s="86" t="s">
        <v>328</v>
      </c>
      <c r="C250" s="85" t="s">
        <v>18</v>
      </c>
      <c r="D250" s="85" t="s">
        <v>236</v>
      </c>
      <c r="E250" s="85" t="s">
        <v>329</v>
      </c>
      <c r="F250" s="87" t="s">
        <v>328</v>
      </c>
      <c r="G250" s="230">
        <v>112</v>
      </c>
      <c r="H250" s="111">
        <v>0</v>
      </c>
      <c r="I250" s="88">
        <f t="shared" si="36"/>
        <v>0</v>
      </c>
      <c r="J250" s="75">
        <v>0</v>
      </c>
      <c r="K250" s="89">
        <f t="shared" si="37"/>
        <v>0</v>
      </c>
      <c r="L250" s="75">
        <v>0</v>
      </c>
      <c r="M250" s="89">
        <f t="shared" si="38"/>
        <v>0</v>
      </c>
    </row>
    <row r="251" spans="1:13" ht="12.75" customHeight="1">
      <c r="A251" s="108" t="s">
        <v>47</v>
      </c>
      <c r="B251" s="86" t="s">
        <v>325</v>
      </c>
      <c r="C251" s="85" t="s">
        <v>18</v>
      </c>
      <c r="D251" s="85" t="s">
        <v>193</v>
      </c>
      <c r="E251" s="85" t="s">
        <v>326</v>
      </c>
      <c r="F251" s="87" t="s">
        <v>330</v>
      </c>
      <c r="G251" s="230">
        <v>30</v>
      </c>
      <c r="H251" s="111">
        <v>20</v>
      </c>
      <c r="I251" s="88">
        <f t="shared" si="36"/>
        <v>1.5</v>
      </c>
      <c r="J251" s="75">
        <v>20</v>
      </c>
      <c r="K251" s="89">
        <f t="shared" si="37"/>
        <v>1.5</v>
      </c>
      <c r="L251" s="75">
        <v>5.72</v>
      </c>
      <c r="M251" s="89">
        <f t="shared" si="38"/>
        <v>5.244755244755245</v>
      </c>
    </row>
    <row r="252" spans="1:13" ht="12.75" customHeight="1">
      <c r="A252" s="108" t="s">
        <v>47</v>
      </c>
      <c r="B252" s="86" t="s">
        <v>325</v>
      </c>
      <c r="C252" s="85" t="s">
        <v>18</v>
      </c>
      <c r="D252" s="85" t="s">
        <v>256</v>
      </c>
      <c r="E252" s="85" t="s">
        <v>326</v>
      </c>
      <c r="F252" s="87" t="s">
        <v>257</v>
      </c>
      <c r="G252" s="230">
        <v>60</v>
      </c>
      <c r="H252" s="111">
        <v>60</v>
      </c>
      <c r="I252" s="88">
        <f t="shared" si="36"/>
        <v>1</v>
      </c>
      <c r="J252" s="75">
        <v>60</v>
      </c>
      <c r="K252" s="89">
        <f t="shared" si="37"/>
        <v>1</v>
      </c>
      <c r="L252" s="75">
        <v>37.525</v>
      </c>
      <c r="M252" s="89">
        <f t="shared" si="38"/>
        <v>1.5989340439706863</v>
      </c>
    </row>
    <row r="253" spans="1:13" ht="12.75" customHeight="1">
      <c r="A253" s="108" t="s">
        <v>47</v>
      </c>
      <c r="B253" s="86" t="s">
        <v>325</v>
      </c>
      <c r="C253" s="85" t="s">
        <v>18</v>
      </c>
      <c r="D253" s="85" t="s">
        <v>195</v>
      </c>
      <c r="E253" s="85" t="s">
        <v>326</v>
      </c>
      <c r="F253" s="87" t="s">
        <v>258</v>
      </c>
      <c r="G253" s="230">
        <v>0</v>
      </c>
      <c r="H253" s="111">
        <v>5</v>
      </c>
      <c r="I253" s="88">
        <f t="shared" si="36"/>
        <v>0</v>
      </c>
      <c r="J253" s="75">
        <v>5</v>
      </c>
      <c r="K253" s="89">
        <f t="shared" si="37"/>
        <v>0</v>
      </c>
      <c r="L253" s="75">
        <v>0.36</v>
      </c>
      <c r="M253" s="89">
        <f t="shared" si="38"/>
        <v>0</v>
      </c>
    </row>
    <row r="254" spans="1:13" ht="12.75" customHeight="1">
      <c r="A254" s="108" t="s">
        <v>47</v>
      </c>
      <c r="B254" s="86" t="s">
        <v>325</v>
      </c>
      <c r="C254" s="85" t="s">
        <v>18</v>
      </c>
      <c r="D254" s="85" t="s">
        <v>295</v>
      </c>
      <c r="E254" s="85" t="s">
        <v>326</v>
      </c>
      <c r="F254" s="87" t="s">
        <v>296</v>
      </c>
      <c r="G254" s="230">
        <v>2</v>
      </c>
      <c r="H254" s="111">
        <v>0</v>
      </c>
      <c r="I254" s="88">
        <f t="shared" si="36"/>
        <v>0</v>
      </c>
      <c r="J254" s="75">
        <v>0</v>
      </c>
      <c r="K254" s="89">
        <f t="shared" si="37"/>
        <v>0</v>
      </c>
      <c r="L254" s="75">
        <v>0</v>
      </c>
      <c r="M254" s="89">
        <f t="shared" si="38"/>
        <v>0</v>
      </c>
    </row>
    <row r="255" spans="1:13" ht="12" customHeight="1">
      <c r="A255" s="108" t="s">
        <v>47</v>
      </c>
      <c r="B255" s="86" t="s">
        <v>325</v>
      </c>
      <c r="C255" s="85" t="s">
        <v>18</v>
      </c>
      <c r="D255" s="85" t="s">
        <v>200</v>
      </c>
      <c r="E255" s="85" t="s">
        <v>326</v>
      </c>
      <c r="F255" s="87" t="s">
        <v>331</v>
      </c>
      <c r="G255" s="230">
        <v>300</v>
      </c>
      <c r="H255" s="111">
        <v>300</v>
      </c>
      <c r="I255" s="88">
        <f t="shared" si="36"/>
        <v>1</v>
      </c>
      <c r="J255" s="75">
        <v>300</v>
      </c>
      <c r="K255" s="89">
        <f t="shared" si="37"/>
        <v>1</v>
      </c>
      <c r="L255" s="75">
        <v>0</v>
      </c>
      <c r="M255" s="89">
        <f t="shared" si="38"/>
        <v>0</v>
      </c>
    </row>
    <row r="256" spans="1:13" ht="12.75" customHeight="1" thickBot="1">
      <c r="A256" s="108" t="s">
        <v>47</v>
      </c>
      <c r="B256" s="86" t="s">
        <v>325</v>
      </c>
      <c r="C256" s="85" t="s">
        <v>18</v>
      </c>
      <c r="D256" s="85" t="s">
        <v>478</v>
      </c>
      <c r="E256" s="85" t="s">
        <v>666</v>
      </c>
      <c r="F256" s="87" t="s">
        <v>667</v>
      </c>
      <c r="G256" s="230">
        <v>0</v>
      </c>
      <c r="H256" s="111">
        <v>60</v>
      </c>
      <c r="I256" s="88">
        <f t="shared" si="36"/>
        <v>0</v>
      </c>
      <c r="J256" s="75">
        <v>25.23</v>
      </c>
      <c r="K256" s="89">
        <f t="shared" si="37"/>
        <v>0</v>
      </c>
      <c r="L256" s="75">
        <v>0</v>
      </c>
      <c r="M256" s="89">
        <f t="shared" si="38"/>
        <v>0</v>
      </c>
    </row>
    <row r="257" spans="1:15" ht="12.75" customHeight="1">
      <c r="A257" s="109"/>
      <c r="B257" s="91" t="s">
        <v>11</v>
      </c>
      <c r="C257" s="90" t="s">
        <v>18</v>
      </c>
      <c r="D257" s="90"/>
      <c r="E257" s="90"/>
      <c r="F257" s="92"/>
      <c r="G257" s="231">
        <f aca="true" t="shared" si="39" ref="G257:L257">SUM(G240:G256)</f>
        <v>9363.1</v>
      </c>
      <c r="H257" s="93">
        <f t="shared" si="39"/>
        <v>9070.2</v>
      </c>
      <c r="I257" s="94">
        <f t="shared" si="36"/>
        <v>1.0322925624572776</v>
      </c>
      <c r="J257" s="93">
        <f t="shared" si="39"/>
        <v>8947.84</v>
      </c>
      <c r="K257" s="94">
        <f t="shared" si="37"/>
        <v>1.0464089657392175</v>
      </c>
      <c r="L257" s="93">
        <f t="shared" si="39"/>
        <v>6964.658999999999</v>
      </c>
      <c r="M257" s="94">
        <f t="shared" si="38"/>
        <v>1.3443730698085867</v>
      </c>
      <c r="O257" s="80"/>
    </row>
    <row r="258" spans="9:13" ht="12.75" customHeight="1">
      <c r="I258" s="88"/>
      <c r="K258" s="89"/>
      <c r="M258" s="89"/>
    </row>
    <row r="259" spans="1:15" ht="12.75" customHeight="1">
      <c r="A259" s="107"/>
      <c r="B259" s="95" t="s">
        <v>51</v>
      </c>
      <c r="C259" s="81"/>
      <c r="D259" s="81"/>
      <c r="E259" s="81"/>
      <c r="F259" s="96"/>
      <c r="G259" s="232">
        <f>SUM(G257)</f>
        <v>9363.1</v>
      </c>
      <c r="H259" s="103">
        <f>SUM(H257)</f>
        <v>9070.2</v>
      </c>
      <c r="I259" s="98">
        <f>IF(H259=0,0,$G259/H259)</f>
        <v>1.0322925624572776</v>
      </c>
      <c r="J259" s="97">
        <f>SUM(J257)</f>
        <v>8947.84</v>
      </c>
      <c r="K259" s="99">
        <f>IF(J259=0,0,$G259/J259)</f>
        <v>1.0464089657392175</v>
      </c>
      <c r="L259" s="97">
        <f>SUM(L257)</f>
        <v>6964.658999999999</v>
      </c>
      <c r="M259" s="99">
        <f>IF(L259=0,0,$G259/L259)</f>
        <v>1.3443730698085867</v>
      </c>
      <c r="O259" s="80"/>
    </row>
    <row r="260" spans="9:13" ht="12.75" customHeight="1">
      <c r="I260" s="88"/>
      <c r="K260" s="89"/>
      <c r="M260" s="89"/>
    </row>
    <row r="261" spans="9:13" ht="12.75" customHeight="1">
      <c r="I261" s="88"/>
      <c r="K261" s="89"/>
      <c r="M261" s="89"/>
    </row>
    <row r="262" spans="1:13" ht="12.75" customHeight="1">
      <c r="A262" s="108" t="s">
        <v>52</v>
      </c>
      <c r="B262" s="86" t="s">
        <v>332</v>
      </c>
      <c r="C262" s="85" t="s">
        <v>18</v>
      </c>
      <c r="D262" s="85" t="s">
        <v>266</v>
      </c>
      <c r="E262" s="85" t="s">
        <v>333</v>
      </c>
      <c r="F262" s="87" t="s">
        <v>794</v>
      </c>
      <c r="G262" s="230">
        <v>4943</v>
      </c>
      <c r="H262" s="111">
        <v>4776</v>
      </c>
      <c r="I262" s="88">
        <f aca="true" t="shared" si="40" ref="I262:I278">IF(H262=0,0,$G262/H262)</f>
        <v>1.034966499162479</v>
      </c>
      <c r="J262" s="75">
        <v>5111.39</v>
      </c>
      <c r="K262" s="89">
        <f aca="true" t="shared" si="41" ref="K262:K278">IF(J262=0,0,$G262/J262)</f>
        <v>0.9670559280352311</v>
      </c>
      <c r="L262" s="75">
        <v>3854.759</v>
      </c>
      <c r="M262" s="89">
        <f aca="true" t="shared" si="42" ref="M262:M278">IF(L262=0,0,$G262/L262)</f>
        <v>1.2823110342306743</v>
      </c>
    </row>
    <row r="263" spans="1:13" ht="12.75" customHeight="1">
      <c r="A263" s="108" t="s">
        <v>52</v>
      </c>
      <c r="B263" s="86" t="s">
        <v>332</v>
      </c>
      <c r="C263" s="85" t="s">
        <v>18</v>
      </c>
      <c r="D263" s="85" t="s">
        <v>217</v>
      </c>
      <c r="E263" s="85" t="s">
        <v>333</v>
      </c>
      <c r="F263" s="87" t="s">
        <v>300</v>
      </c>
      <c r="G263" s="230">
        <v>200</v>
      </c>
      <c r="H263" s="111">
        <v>0</v>
      </c>
      <c r="I263" s="88">
        <f t="shared" si="40"/>
        <v>0</v>
      </c>
      <c r="J263" s="75">
        <v>51</v>
      </c>
      <c r="K263" s="89">
        <f t="shared" si="41"/>
        <v>3.9215686274509802</v>
      </c>
      <c r="L263" s="75">
        <v>50.309</v>
      </c>
      <c r="M263" s="89">
        <f t="shared" si="42"/>
        <v>3.9754318312826733</v>
      </c>
    </row>
    <row r="264" spans="1:13" ht="12.75" customHeight="1">
      <c r="A264" s="108" t="s">
        <v>52</v>
      </c>
      <c r="B264" s="86" t="s">
        <v>332</v>
      </c>
      <c r="C264" s="85" t="s">
        <v>18</v>
      </c>
      <c r="D264" s="85" t="s">
        <v>220</v>
      </c>
      <c r="E264" s="85" t="s">
        <v>333</v>
      </c>
      <c r="F264" s="87" t="s">
        <v>322</v>
      </c>
      <c r="G264" s="230">
        <v>1286</v>
      </c>
      <c r="H264" s="111">
        <v>1194</v>
      </c>
      <c r="I264" s="88">
        <f t="shared" si="40"/>
        <v>1.0770519262981575</v>
      </c>
      <c r="J264" s="75">
        <v>1290.6</v>
      </c>
      <c r="K264" s="89">
        <f t="shared" si="41"/>
        <v>0.9964357663102433</v>
      </c>
      <c r="L264" s="75">
        <v>953.65</v>
      </c>
      <c r="M264" s="89">
        <f t="shared" si="42"/>
        <v>1.348503119593142</v>
      </c>
    </row>
    <row r="265" spans="1:13" ht="12.75" customHeight="1">
      <c r="A265" s="108" t="s">
        <v>52</v>
      </c>
      <c r="B265" s="86" t="s">
        <v>332</v>
      </c>
      <c r="C265" s="85" t="s">
        <v>18</v>
      </c>
      <c r="D265" s="85" t="s">
        <v>222</v>
      </c>
      <c r="E265" s="85" t="s">
        <v>333</v>
      </c>
      <c r="F265" s="87" t="s">
        <v>287</v>
      </c>
      <c r="G265" s="230">
        <v>463</v>
      </c>
      <c r="H265" s="111">
        <v>429</v>
      </c>
      <c r="I265" s="88">
        <f t="shared" si="40"/>
        <v>1.0792540792540792</v>
      </c>
      <c r="J265" s="75">
        <v>463.78</v>
      </c>
      <c r="K265" s="89">
        <f t="shared" si="41"/>
        <v>0.9983181680969426</v>
      </c>
      <c r="L265" s="75">
        <v>343.086</v>
      </c>
      <c r="M265" s="89">
        <f t="shared" si="42"/>
        <v>1.3495158648268946</v>
      </c>
    </row>
    <row r="266" spans="1:13" ht="12.75" customHeight="1">
      <c r="A266" s="108" t="s">
        <v>52</v>
      </c>
      <c r="B266" s="86" t="s">
        <v>332</v>
      </c>
      <c r="C266" s="85" t="s">
        <v>18</v>
      </c>
      <c r="D266" s="85" t="s">
        <v>253</v>
      </c>
      <c r="E266" s="85" t="s">
        <v>333</v>
      </c>
      <c r="F266" s="87" t="s">
        <v>254</v>
      </c>
      <c r="G266" s="230">
        <v>5</v>
      </c>
      <c r="H266" s="111">
        <v>5</v>
      </c>
      <c r="I266" s="88">
        <f t="shared" si="40"/>
        <v>1</v>
      </c>
      <c r="J266" s="75">
        <v>5</v>
      </c>
      <c r="K266" s="89">
        <f t="shared" si="41"/>
        <v>1</v>
      </c>
      <c r="L266" s="75">
        <v>1.078</v>
      </c>
      <c r="M266" s="89">
        <f t="shared" si="42"/>
        <v>4.638218923933209</v>
      </c>
    </row>
    <row r="267" spans="1:13" ht="12.75" customHeight="1">
      <c r="A267" s="108" t="s">
        <v>52</v>
      </c>
      <c r="B267" s="86" t="s">
        <v>332</v>
      </c>
      <c r="C267" s="85" t="s">
        <v>18</v>
      </c>
      <c r="D267" s="85" t="s">
        <v>227</v>
      </c>
      <c r="E267" s="85" t="s">
        <v>333</v>
      </c>
      <c r="F267" s="87" t="s">
        <v>228</v>
      </c>
      <c r="G267" s="230">
        <v>56</v>
      </c>
      <c r="H267" s="111">
        <v>70</v>
      </c>
      <c r="I267" s="88">
        <f t="shared" si="40"/>
        <v>0.8</v>
      </c>
      <c r="J267" s="75">
        <f>70-40</f>
        <v>30</v>
      </c>
      <c r="K267" s="89">
        <f t="shared" si="41"/>
        <v>1.8666666666666667</v>
      </c>
      <c r="L267" s="75">
        <v>16.299</v>
      </c>
      <c r="M267" s="89">
        <f t="shared" si="42"/>
        <v>3.435793606969753</v>
      </c>
    </row>
    <row r="268" spans="1:13" ht="12.75" customHeight="1">
      <c r="A268" s="108" t="s">
        <v>52</v>
      </c>
      <c r="B268" s="86" t="s">
        <v>332</v>
      </c>
      <c r="C268" s="85" t="s">
        <v>18</v>
      </c>
      <c r="D268" s="85" t="s">
        <v>176</v>
      </c>
      <c r="E268" s="85" t="s">
        <v>333</v>
      </c>
      <c r="F268" s="87" t="s">
        <v>178</v>
      </c>
      <c r="G268" s="230">
        <v>83</v>
      </c>
      <c r="H268" s="111">
        <v>45</v>
      </c>
      <c r="I268" s="88">
        <f t="shared" si="40"/>
        <v>1.8444444444444446</v>
      </c>
      <c r="J268" s="75">
        <f>40.63-40+31.467</f>
        <v>32.097</v>
      </c>
      <c r="K268" s="89">
        <f t="shared" si="41"/>
        <v>2.5859114558993053</v>
      </c>
      <c r="L268" s="75">
        <v>23.517</v>
      </c>
      <c r="M268" s="89">
        <f t="shared" si="42"/>
        <v>3.5293617383169624</v>
      </c>
    </row>
    <row r="269" spans="1:13" ht="12.75" customHeight="1">
      <c r="A269" s="108" t="s">
        <v>52</v>
      </c>
      <c r="B269" s="86" t="s">
        <v>332</v>
      </c>
      <c r="C269" s="85" t="s">
        <v>18</v>
      </c>
      <c r="D269" s="85" t="s">
        <v>233</v>
      </c>
      <c r="E269" s="85" t="s">
        <v>333</v>
      </c>
      <c r="F269" s="87" t="s">
        <v>234</v>
      </c>
      <c r="G269" s="230">
        <v>32</v>
      </c>
      <c r="H269" s="111">
        <v>0</v>
      </c>
      <c r="I269" s="88">
        <f t="shared" si="40"/>
        <v>0</v>
      </c>
      <c r="J269" s="75">
        <v>0</v>
      </c>
      <c r="K269" s="89">
        <f t="shared" si="41"/>
        <v>0</v>
      </c>
      <c r="L269" s="75">
        <v>0</v>
      </c>
      <c r="M269" s="89">
        <f t="shared" si="42"/>
        <v>0</v>
      </c>
    </row>
    <row r="270" spans="1:13" ht="12.75" customHeight="1">
      <c r="A270" s="108" t="s">
        <v>52</v>
      </c>
      <c r="B270" s="86" t="s">
        <v>332</v>
      </c>
      <c r="C270" s="85" t="s">
        <v>18</v>
      </c>
      <c r="D270" s="85" t="s">
        <v>187</v>
      </c>
      <c r="E270" s="85" t="s">
        <v>333</v>
      </c>
      <c r="F270" s="87" t="s">
        <v>302</v>
      </c>
      <c r="G270" s="230">
        <v>16</v>
      </c>
      <c r="H270" s="111">
        <v>12.5</v>
      </c>
      <c r="I270" s="88">
        <f t="shared" si="40"/>
        <v>1.28</v>
      </c>
      <c r="J270" s="75">
        <v>12.5</v>
      </c>
      <c r="K270" s="89">
        <f t="shared" si="41"/>
        <v>1.28</v>
      </c>
      <c r="L270" s="75">
        <v>11.649</v>
      </c>
      <c r="M270" s="89">
        <f t="shared" si="42"/>
        <v>1.3735084556614303</v>
      </c>
    </row>
    <row r="271" spans="1:13" ht="12.75" customHeight="1">
      <c r="A271" s="108" t="s">
        <v>52</v>
      </c>
      <c r="B271" s="86" t="s">
        <v>332</v>
      </c>
      <c r="C271" s="85" t="s">
        <v>18</v>
      </c>
      <c r="D271" s="85" t="s">
        <v>236</v>
      </c>
      <c r="E271" s="85" t="s">
        <v>333</v>
      </c>
      <c r="F271" s="87" t="s">
        <v>291</v>
      </c>
      <c r="G271" s="230">
        <v>173.4</v>
      </c>
      <c r="H271" s="111">
        <v>275</v>
      </c>
      <c r="I271" s="88">
        <f t="shared" si="40"/>
        <v>0.6305454545454545</v>
      </c>
      <c r="J271" s="75">
        <v>124.8</v>
      </c>
      <c r="K271" s="89">
        <f t="shared" si="41"/>
        <v>1.389423076923077</v>
      </c>
      <c r="L271" s="75">
        <v>60.186</v>
      </c>
      <c r="M271" s="89">
        <f t="shared" si="42"/>
        <v>2.881068687070083</v>
      </c>
    </row>
    <row r="272" spans="1:13" ht="12.75" customHeight="1">
      <c r="A272" s="108" t="s">
        <v>52</v>
      </c>
      <c r="B272" s="86" t="s">
        <v>334</v>
      </c>
      <c r="C272" s="85" t="s">
        <v>18</v>
      </c>
      <c r="D272" s="85" t="s">
        <v>236</v>
      </c>
      <c r="E272" s="85" t="s">
        <v>335</v>
      </c>
      <c r="F272" s="87" t="s">
        <v>334</v>
      </c>
      <c r="G272" s="230">
        <v>80</v>
      </c>
      <c r="H272" s="111">
        <v>0</v>
      </c>
      <c r="I272" s="88">
        <f t="shared" si="40"/>
        <v>0</v>
      </c>
      <c r="J272" s="75">
        <v>0</v>
      </c>
      <c r="K272" s="89">
        <f t="shared" si="41"/>
        <v>0</v>
      </c>
      <c r="L272" s="75">
        <v>0</v>
      </c>
      <c r="M272" s="89">
        <f t="shared" si="42"/>
        <v>0</v>
      </c>
    </row>
    <row r="273" spans="1:13" ht="12.75" customHeight="1">
      <c r="A273" s="108" t="s">
        <v>52</v>
      </c>
      <c r="B273" s="86" t="s">
        <v>332</v>
      </c>
      <c r="C273" s="85" t="s">
        <v>18</v>
      </c>
      <c r="D273" s="85" t="s">
        <v>193</v>
      </c>
      <c r="E273" s="85" t="s">
        <v>333</v>
      </c>
      <c r="F273" s="87" t="s">
        <v>239</v>
      </c>
      <c r="G273" s="230">
        <v>8</v>
      </c>
      <c r="H273" s="111">
        <v>6</v>
      </c>
      <c r="I273" s="88">
        <f t="shared" si="40"/>
        <v>1.3333333333333333</v>
      </c>
      <c r="J273" s="75">
        <v>6</v>
      </c>
      <c r="K273" s="89">
        <f t="shared" si="41"/>
        <v>1.3333333333333333</v>
      </c>
      <c r="L273" s="75">
        <v>0</v>
      </c>
      <c r="M273" s="89">
        <f t="shared" si="42"/>
        <v>0</v>
      </c>
    </row>
    <row r="274" spans="1:13" ht="12.75" customHeight="1">
      <c r="A274" s="108" t="s">
        <v>52</v>
      </c>
      <c r="B274" s="86" t="s">
        <v>332</v>
      </c>
      <c r="C274" s="85" t="s">
        <v>18</v>
      </c>
      <c r="D274" s="85" t="s">
        <v>256</v>
      </c>
      <c r="E274" s="85" t="s">
        <v>333</v>
      </c>
      <c r="F274" s="87" t="s">
        <v>257</v>
      </c>
      <c r="G274" s="230">
        <v>20</v>
      </c>
      <c r="H274" s="111">
        <v>45</v>
      </c>
      <c r="I274" s="88">
        <f t="shared" si="40"/>
        <v>0.4444444444444444</v>
      </c>
      <c r="J274" s="75">
        <v>45</v>
      </c>
      <c r="K274" s="89">
        <f t="shared" si="41"/>
        <v>0.4444444444444444</v>
      </c>
      <c r="L274" s="75">
        <v>15.611</v>
      </c>
      <c r="M274" s="89">
        <f t="shared" si="42"/>
        <v>1.2811479085260393</v>
      </c>
    </row>
    <row r="275" spans="1:13" ht="12.75" customHeight="1">
      <c r="A275" s="108" t="s">
        <v>52</v>
      </c>
      <c r="B275" s="86" t="s">
        <v>332</v>
      </c>
      <c r="C275" s="85" t="s">
        <v>18</v>
      </c>
      <c r="D275" s="85" t="s">
        <v>195</v>
      </c>
      <c r="E275" s="85" t="s">
        <v>333</v>
      </c>
      <c r="F275" s="87" t="s">
        <v>258</v>
      </c>
      <c r="G275" s="230">
        <v>8</v>
      </c>
      <c r="H275" s="111">
        <v>2</v>
      </c>
      <c r="I275" s="88">
        <f t="shared" si="40"/>
        <v>4</v>
      </c>
      <c r="J275" s="75">
        <v>6.37</v>
      </c>
      <c r="K275" s="89">
        <f t="shared" si="41"/>
        <v>1.2558869701726845</v>
      </c>
      <c r="L275" s="75">
        <v>4.866</v>
      </c>
      <c r="M275" s="89">
        <f t="shared" si="42"/>
        <v>1.6440608302507194</v>
      </c>
    </row>
    <row r="276" spans="1:13" ht="12.75" customHeight="1">
      <c r="A276" s="108" t="s">
        <v>52</v>
      </c>
      <c r="B276" s="86" t="s">
        <v>332</v>
      </c>
      <c r="C276" s="85" t="s">
        <v>18</v>
      </c>
      <c r="D276" s="85" t="s">
        <v>295</v>
      </c>
      <c r="E276" s="85" t="s">
        <v>333</v>
      </c>
      <c r="F276" s="87" t="s">
        <v>296</v>
      </c>
      <c r="G276" s="230">
        <v>2</v>
      </c>
      <c r="H276" s="111">
        <v>0</v>
      </c>
      <c r="I276" s="88">
        <f t="shared" si="40"/>
        <v>0</v>
      </c>
      <c r="J276" s="75">
        <v>0</v>
      </c>
      <c r="K276" s="89">
        <f t="shared" si="41"/>
        <v>0</v>
      </c>
      <c r="L276" s="75">
        <v>0</v>
      </c>
      <c r="M276" s="89">
        <f t="shared" si="42"/>
        <v>0</v>
      </c>
    </row>
    <row r="277" spans="1:13" ht="12.75" customHeight="1" thickBot="1">
      <c r="A277" s="108" t="s">
        <v>52</v>
      </c>
      <c r="B277" s="86" t="s">
        <v>332</v>
      </c>
      <c r="C277" s="85" t="s">
        <v>18</v>
      </c>
      <c r="D277" s="85" t="s">
        <v>349</v>
      </c>
      <c r="E277" s="85" t="s">
        <v>333</v>
      </c>
      <c r="F277" s="87" t="s">
        <v>785</v>
      </c>
      <c r="G277" s="230">
        <v>0</v>
      </c>
      <c r="H277" s="111">
        <v>0</v>
      </c>
      <c r="I277" s="88">
        <f>IF(H277=0,0,$G277/H277)</f>
        <v>0</v>
      </c>
      <c r="J277" s="75">
        <f>40-31.467</f>
        <v>8.533000000000001</v>
      </c>
      <c r="K277" s="89">
        <f>IF(J277=0,0,$G277/J277)</f>
        <v>0</v>
      </c>
      <c r="L277" s="75">
        <v>0</v>
      </c>
      <c r="M277" s="89">
        <f>IF(L277=0,0,$G277/L277)</f>
        <v>0</v>
      </c>
    </row>
    <row r="278" spans="1:15" ht="12.75" customHeight="1">
      <c r="A278" s="109"/>
      <c r="B278" s="91" t="s">
        <v>11</v>
      </c>
      <c r="C278" s="90" t="s">
        <v>18</v>
      </c>
      <c r="D278" s="90"/>
      <c r="E278" s="90"/>
      <c r="F278" s="92"/>
      <c r="G278" s="231">
        <f aca="true" t="shared" si="43" ref="G278:L278">SUM(G262:G277)</f>
        <v>7375.4</v>
      </c>
      <c r="H278" s="93">
        <f t="shared" si="43"/>
        <v>6859.5</v>
      </c>
      <c r="I278" s="94">
        <f t="shared" si="40"/>
        <v>1.0752095633792549</v>
      </c>
      <c r="J278" s="93">
        <f t="shared" si="43"/>
        <v>7187.07</v>
      </c>
      <c r="K278" s="94">
        <f t="shared" si="41"/>
        <v>1.0262040024655388</v>
      </c>
      <c r="L278" s="93">
        <f t="shared" si="43"/>
        <v>5335.01</v>
      </c>
      <c r="M278" s="94">
        <f t="shared" si="42"/>
        <v>1.3824528913722747</v>
      </c>
      <c r="O278" s="80"/>
    </row>
    <row r="279" spans="9:13" ht="12.75" customHeight="1">
      <c r="I279" s="88"/>
      <c r="K279" s="89"/>
      <c r="M279" s="89"/>
    </row>
    <row r="280" spans="1:15" ht="12.75" customHeight="1">
      <c r="A280" s="107"/>
      <c r="B280" s="95" t="s">
        <v>55</v>
      </c>
      <c r="C280" s="81"/>
      <c r="D280" s="81"/>
      <c r="E280" s="81"/>
      <c r="F280" s="96"/>
      <c r="G280" s="232">
        <f>SUM(G278)</f>
        <v>7375.4</v>
      </c>
      <c r="H280" s="103">
        <f>SUM(H278)</f>
        <v>6859.5</v>
      </c>
      <c r="I280" s="98">
        <f>IF(H280=0,0,$G280/H280)</f>
        <v>1.0752095633792549</v>
      </c>
      <c r="J280" s="97">
        <f>SUM(J278)</f>
        <v>7187.07</v>
      </c>
      <c r="K280" s="99">
        <f>IF(J280=0,0,$G280/J280)</f>
        <v>1.0262040024655388</v>
      </c>
      <c r="L280" s="97">
        <f>SUM(L278)</f>
        <v>5335.01</v>
      </c>
      <c r="M280" s="99">
        <f>IF(L280=0,0,$G280/L280)</f>
        <v>1.3824528913722747</v>
      </c>
      <c r="O280" s="80"/>
    </row>
    <row r="281" spans="9:13" ht="12.75" customHeight="1">
      <c r="I281" s="88"/>
      <c r="K281" s="89"/>
      <c r="M281" s="89"/>
    </row>
    <row r="282" spans="9:13" ht="12.75" customHeight="1">
      <c r="I282" s="88"/>
      <c r="K282" s="89"/>
      <c r="M282" s="89"/>
    </row>
    <row r="283" spans="1:13" ht="12.75" customHeight="1">
      <c r="A283" s="108" t="s">
        <v>56</v>
      </c>
      <c r="B283" s="86" t="s">
        <v>336</v>
      </c>
      <c r="C283" s="85" t="s">
        <v>58</v>
      </c>
      <c r="D283" s="85" t="s">
        <v>217</v>
      </c>
      <c r="E283" s="85" t="s">
        <v>337</v>
      </c>
      <c r="F283" s="87" t="s">
        <v>338</v>
      </c>
      <c r="G283" s="230">
        <v>18</v>
      </c>
      <c r="H283" s="111">
        <v>18</v>
      </c>
      <c r="I283" s="88">
        <f aca="true" t="shared" si="44" ref="I283:I299">IF(H283=0,0,$G283/H283)</f>
        <v>1</v>
      </c>
      <c r="J283" s="75">
        <v>18</v>
      </c>
      <c r="K283" s="89">
        <f aca="true" t="shared" si="45" ref="K283:K299">IF(J283=0,0,$G283/J283)</f>
        <v>1</v>
      </c>
      <c r="L283" s="75">
        <v>10.5</v>
      </c>
      <c r="M283" s="89">
        <f aca="true" t="shared" si="46" ref="M283:M299">IF(L283=0,0,$G283/L283)</f>
        <v>1.7142857142857142</v>
      </c>
    </row>
    <row r="284" spans="1:13" ht="12.75" customHeight="1">
      <c r="A284" s="108" t="s">
        <v>56</v>
      </c>
      <c r="B284" s="86" t="s">
        <v>336</v>
      </c>
      <c r="C284" s="85" t="s">
        <v>58</v>
      </c>
      <c r="D284" s="85" t="s">
        <v>253</v>
      </c>
      <c r="E284" s="85" t="s">
        <v>337</v>
      </c>
      <c r="F284" s="87" t="s">
        <v>254</v>
      </c>
      <c r="G284" s="230">
        <v>85</v>
      </c>
      <c r="H284" s="111">
        <v>80</v>
      </c>
      <c r="I284" s="88">
        <f t="shared" si="44"/>
        <v>1.0625</v>
      </c>
      <c r="J284" s="75">
        <v>80</v>
      </c>
      <c r="K284" s="89">
        <f t="shared" si="45"/>
        <v>1.0625</v>
      </c>
      <c r="L284" s="75">
        <v>56.34</v>
      </c>
      <c r="M284" s="89">
        <f t="shared" si="46"/>
        <v>1.508697195598154</v>
      </c>
    </row>
    <row r="285" spans="1:13" ht="12.75" customHeight="1">
      <c r="A285" s="108" t="s">
        <v>56</v>
      </c>
      <c r="B285" s="86" t="s">
        <v>336</v>
      </c>
      <c r="C285" s="85" t="s">
        <v>58</v>
      </c>
      <c r="D285" s="85" t="s">
        <v>227</v>
      </c>
      <c r="E285" s="85" t="s">
        <v>337</v>
      </c>
      <c r="F285" s="87" t="s">
        <v>339</v>
      </c>
      <c r="G285" s="230">
        <v>20</v>
      </c>
      <c r="H285" s="111">
        <v>20</v>
      </c>
      <c r="I285" s="88">
        <f t="shared" si="44"/>
        <v>1</v>
      </c>
      <c r="J285" s="75">
        <f>145.02-45</f>
        <v>100.02000000000001</v>
      </c>
      <c r="K285" s="89">
        <f t="shared" si="45"/>
        <v>0.1999600079984003</v>
      </c>
      <c r="L285" s="75">
        <v>95.88</v>
      </c>
      <c r="M285" s="89">
        <f t="shared" si="46"/>
        <v>0.20859407592824364</v>
      </c>
    </row>
    <row r="286" spans="1:13" ht="12.75" customHeight="1">
      <c r="A286" s="108" t="s">
        <v>56</v>
      </c>
      <c r="B286" s="86" t="s">
        <v>336</v>
      </c>
      <c r="C286" s="85" t="s">
        <v>58</v>
      </c>
      <c r="D286" s="85" t="s">
        <v>340</v>
      </c>
      <c r="E286" s="85" t="s">
        <v>337</v>
      </c>
      <c r="F286" s="87" t="s">
        <v>341</v>
      </c>
      <c r="G286" s="230">
        <v>5</v>
      </c>
      <c r="H286" s="111">
        <v>5</v>
      </c>
      <c r="I286" s="88">
        <f t="shared" si="44"/>
        <v>1</v>
      </c>
      <c r="J286" s="75">
        <v>5</v>
      </c>
      <c r="K286" s="89">
        <f t="shared" si="45"/>
        <v>1</v>
      </c>
      <c r="L286" s="75">
        <v>0</v>
      </c>
      <c r="M286" s="89">
        <f t="shared" si="46"/>
        <v>0</v>
      </c>
    </row>
    <row r="287" spans="1:13" ht="12.75" customHeight="1">
      <c r="A287" s="108" t="s">
        <v>56</v>
      </c>
      <c r="B287" s="86" t="s">
        <v>336</v>
      </c>
      <c r="C287" s="85" t="s">
        <v>58</v>
      </c>
      <c r="D287" s="85" t="s">
        <v>176</v>
      </c>
      <c r="E287" s="85" t="s">
        <v>337</v>
      </c>
      <c r="F287" s="87" t="s">
        <v>178</v>
      </c>
      <c r="G287" s="230">
        <v>5</v>
      </c>
      <c r="H287" s="111">
        <v>3</v>
      </c>
      <c r="I287" s="88">
        <f t="shared" si="44"/>
        <v>1.6666666666666667</v>
      </c>
      <c r="J287" s="75">
        <v>3</v>
      </c>
      <c r="K287" s="89">
        <f t="shared" si="45"/>
        <v>1.6666666666666667</v>
      </c>
      <c r="L287" s="75">
        <v>0.577</v>
      </c>
      <c r="M287" s="89">
        <f t="shared" si="46"/>
        <v>8.665511265164646</v>
      </c>
    </row>
    <row r="288" spans="1:13" ht="12.75" customHeight="1">
      <c r="A288" s="108" t="s">
        <v>56</v>
      </c>
      <c r="B288" s="86" t="s">
        <v>336</v>
      </c>
      <c r="C288" s="85" t="s">
        <v>58</v>
      </c>
      <c r="D288" s="85" t="s">
        <v>179</v>
      </c>
      <c r="E288" s="85" t="s">
        <v>337</v>
      </c>
      <c r="F288" s="87" t="s">
        <v>180</v>
      </c>
      <c r="G288" s="230">
        <v>5</v>
      </c>
      <c r="H288" s="111">
        <v>5</v>
      </c>
      <c r="I288" s="88">
        <f t="shared" si="44"/>
        <v>1</v>
      </c>
      <c r="J288" s="75">
        <v>5</v>
      </c>
      <c r="K288" s="89">
        <f t="shared" si="45"/>
        <v>1</v>
      </c>
      <c r="L288" s="75">
        <v>0</v>
      </c>
      <c r="M288" s="89">
        <f t="shared" si="46"/>
        <v>0</v>
      </c>
    </row>
    <row r="289" spans="1:13" ht="12.75" customHeight="1">
      <c r="A289" s="108" t="s">
        <v>56</v>
      </c>
      <c r="B289" s="86" t="s">
        <v>336</v>
      </c>
      <c r="C289" s="85" t="s">
        <v>58</v>
      </c>
      <c r="D289" s="85" t="s">
        <v>183</v>
      </c>
      <c r="E289" s="85" t="s">
        <v>337</v>
      </c>
      <c r="F289" s="87" t="s">
        <v>342</v>
      </c>
      <c r="G289" s="230">
        <v>54</v>
      </c>
      <c r="H289" s="111">
        <v>56</v>
      </c>
      <c r="I289" s="88">
        <f t="shared" si="44"/>
        <v>0.9642857142857143</v>
      </c>
      <c r="J289" s="75">
        <v>56</v>
      </c>
      <c r="K289" s="89">
        <f t="shared" si="45"/>
        <v>0.9642857142857143</v>
      </c>
      <c r="L289" s="75">
        <v>36.209</v>
      </c>
      <c r="M289" s="89">
        <f t="shared" si="46"/>
        <v>1.4913419315639758</v>
      </c>
    </row>
    <row r="290" spans="1:13" ht="12.75" customHeight="1">
      <c r="A290" s="108" t="s">
        <v>56</v>
      </c>
      <c r="B290" s="86" t="s">
        <v>336</v>
      </c>
      <c r="C290" s="85" t="s">
        <v>58</v>
      </c>
      <c r="D290" s="85" t="s">
        <v>185</v>
      </c>
      <c r="E290" s="85" t="s">
        <v>337</v>
      </c>
      <c r="F290" s="87" t="s">
        <v>343</v>
      </c>
      <c r="G290" s="230">
        <v>2</v>
      </c>
      <c r="H290" s="111">
        <v>0</v>
      </c>
      <c r="I290" s="88">
        <f t="shared" si="44"/>
        <v>0</v>
      </c>
      <c r="J290" s="75">
        <v>0</v>
      </c>
      <c r="K290" s="89">
        <f t="shared" si="45"/>
        <v>0</v>
      </c>
      <c r="L290" s="75">
        <v>0.12</v>
      </c>
      <c r="M290" s="89">
        <f t="shared" si="46"/>
        <v>16.666666666666668</v>
      </c>
    </row>
    <row r="291" spans="1:13" ht="12.75" customHeight="1">
      <c r="A291" s="108" t="s">
        <v>56</v>
      </c>
      <c r="B291" s="86" t="s">
        <v>336</v>
      </c>
      <c r="C291" s="85" t="s">
        <v>58</v>
      </c>
      <c r="D291" s="85" t="s">
        <v>187</v>
      </c>
      <c r="E291" s="85" t="s">
        <v>337</v>
      </c>
      <c r="F291" s="87" t="s">
        <v>302</v>
      </c>
      <c r="G291" s="230">
        <v>9</v>
      </c>
      <c r="H291" s="111">
        <v>9</v>
      </c>
      <c r="I291" s="88">
        <f t="shared" si="44"/>
        <v>1</v>
      </c>
      <c r="J291" s="75">
        <v>9</v>
      </c>
      <c r="K291" s="89">
        <f t="shared" si="45"/>
        <v>1</v>
      </c>
      <c r="L291" s="75">
        <v>0</v>
      </c>
      <c r="M291" s="89">
        <f t="shared" si="46"/>
        <v>0</v>
      </c>
    </row>
    <row r="292" spans="1:13" ht="12.75" customHeight="1">
      <c r="A292" s="108" t="s">
        <v>56</v>
      </c>
      <c r="B292" s="86" t="s">
        <v>336</v>
      </c>
      <c r="C292" s="85" t="s">
        <v>58</v>
      </c>
      <c r="D292" s="85" t="s">
        <v>236</v>
      </c>
      <c r="E292" s="85" t="s">
        <v>337</v>
      </c>
      <c r="F292" s="87" t="s">
        <v>291</v>
      </c>
      <c r="G292" s="230">
        <v>0</v>
      </c>
      <c r="H292" s="111">
        <v>5</v>
      </c>
      <c r="I292" s="88">
        <f t="shared" si="44"/>
        <v>0</v>
      </c>
      <c r="J292" s="75">
        <v>5</v>
      </c>
      <c r="K292" s="89">
        <f t="shared" si="45"/>
        <v>0</v>
      </c>
      <c r="L292" s="75">
        <v>0</v>
      </c>
      <c r="M292" s="89">
        <f t="shared" si="46"/>
        <v>0</v>
      </c>
    </row>
    <row r="293" spans="1:13" ht="12.75" customHeight="1">
      <c r="A293" s="108" t="s">
        <v>56</v>
      </c>
      <c r="B293" s="86" t="s">
        <v>336</v>
      </c>
      <c r="C293" s="85" t="s">
        <v>58</v>
      </c>
      <c r="D293" s="85" t="s">
        <v>191</v>
      </c>
      <c r="E293" s="85" t="s">
        <v>337</v>
      </c>
      <c r="F293" s="87" t="s">
        <v>238</v>
      </c>
      <c r="G293" s="230">
        <v>10</v>
      </c>
      <c r="H293" s="111">
        <v>6</v>
      </c>
      <c r="I293" s="88">
        <f t="shared" si="44"/>
        <v>1.6666666666666667</v>
      </c>
      <c r="J293" s="75">
        <v>6</v>
      </c>
      <c r="K293" s="89">
        <f t="shared" si="45"/>
        <v>1.6666666666666667</v>
      </c>
      <c r="L293" s="75">
        <v>13.709</v>
      </c>
      <c r="M293" s="89">
        <f t="shared" si="46"/>
        <v>0.729447808009337</v>
      </c>
    </row>
    <row r="294" spans="1:13" ht="12.75" customHeight="1">
      <c r="A294" s="108" t="s">
        <v>56</v>
      </c>
      <c r="B294" s="86" t="s">
        <v>336</v>
      </c>
      <c r="C294" s="85" t="s">
        <v>58</v>
      </c>
      <c r="D294" s="85" t="s">
        <v>193</v>
      </c>
      <c r="E294" s="85" t="s">
        <v>337</v>
      </c>
      <c r="F294" s="87" t="s">
        <v>344</v>
      </c>
      <c r="G294" s="230">
        <f>40+40</f>
        <v>80</v>
      </c>
      <c r="H294" s="111">
        <v>44</v>
      </c>
      <c r="I294" s="88">
        <f t="shared" si="44"/>
        <v>1.8181818181818181</v>
      </c>
      <c r="J294" s="75">
        <v>64</v>
      </c>
      <c r="K294" s="89">
        <f t="shared" si="45"/>
        <v>1.25</v>
      </c>
      <c r="L294" s="75">
        <v>58.635</v>
      </c>
      <c r="M294" s="89">
        <f t="shared" si="46"/>
        <v>1.3643728148716636</v>
      </c>
    </row>
    <row r="295" spans="1:13" ht="12.75" customHeight="1">
      <c r="A295" s="108" t="s">
        <v>56</v>
      </c>
      <c r="B295" s="86" t="s">
        <v>336</v>
      </c>
      <c r="C295" s="85" t="s">
        <v>58</v>
      </c>
      <c r="D295" s="85" t="s">
        <v>256</v>
      </c>
      <c r="E295" s="85" t="s">
        <v>337</v>
      </c>
      <c r="F295" s="87" t="s">
        <v>257</v>
      </c>
      <c r="G295" s="230">
        <v>3</v>
      </c>
      <c r="H295" s="111">
        <v>4</v>
      </c>
      <c r="I295" s="88">
        <f t="shared" si="44"/>
        <v>0.75</v>
      </c>
      <c r="J295" s="75">
        <v>4</v>
      </c>
      <c r="K295" s="89">
        <f t="shared" si="45"/>
        <v>0.75</v>
      </c>
      <c r="L295" s="75">
        <v>0.2</v>
      </c>
      <c r="M295" s="89">
        <f t="shared" si="46"/>
        <v>15</v>
      </c>
    </row>
    <row r="296" spans="1:13" ht="12.75" customHeight="1">
      <c r="A296" s="108" t="s">
        <v>56</v>
      </c>
      <c r="B296" s="86" t="s">
        <v>336</v>
      </c>
      <c r="C296" s="85" t="s">
        <v>58</v>
      </c>
      <c r="D296" s="85" t="s">
        <v>195</v>
      </c>
      <c r="E296" s="85" t="s">
        <v>337</v>
      </c>
      <c r="F296" s="87" t="s">
        <v>258</v>
      </c>
      <c r="G296" s="230">
        <v>2</v>
      </c>
      <c r="H296" s="111">
        <v>3</v>
      </c>
      <c r="I296" s="88">
        <f t="shared" si="44"/>
        <v>0.6666666666666666</v>
      </c>
      <c r="J296" s="75">
        <v>3</v>
      </c>
      <c r="K296" s="89">
        <f t="shared" si="45"/>
        <v>0.6666666666666666</v>
      </c>
      <c r="L296" s="75">
        <v>0</v>
      </c>
      <c r="M296" s="89">
        <f t="shared" si="46"/>
        <v>0</v>
      </c>
    </row>
    <row r="297" spans="1:13" ht="12.75" customHeight="1">
      <c r="A297" s="108" t="s">
        <v>56</v>
      </c>
      <c r="B297" s="86" t="s">
        <v>336</v>
      </c>
      <c r="C297" s="85" t="s">
        <v>58</v>
      </c>
      <c r="D297" s="85" t="s">
        <v>345</v>
      </c>
      <c r="E297" s="85" t="s">
        <v>337</v>
      </c>
      <c r="F297" s="87" t="s">
        <v>346</v>
      </c>
      <c r="G297" s="230">
        <v>3</v>
      </c>
      <c r="H297" s="111">
        <v>7</v>
      </c>
      <c r="I297" s="88">
        <f t="shared" si="44"/>
        <v>0.42857142857142855</v>
      </c>
      <c r="J297" s="75">
        <v>7</v>
      </c>
      <c r="K297" s="89">
        <f t="shared" si="45"/>
        <v>0.42857142857142855</v>
      </c>
      <c r="L297" s="75">
        <v>0.33</v>
      </c>
      <c r="M297" s="89">
        <f t="shared" si="46"/>
        <v>9.09090909090909</v>
      </c>
    </row>
    <row r="298" spans="1:13" ht="12.75" customHeight="1" thickBot="1">
      <c r="A298" s="108" t="s">
        <v>56</v>
      </c>
      <c r="B298" s="86" t="s">
        <v>336</v>
      </c>
      <c r="C298" s="85" t="s">
        <v>58</v>
      </c>
      <c r="D298" s="85" t="s">
        <v>349</v>
      </c>
      <c r="E298" s="85" t="s">
        <v>337</v>
      </c>
      <c r="F298" s="87" t="s">
        <v>785</v>
      </c>
      <c r="G298" s="230">
        <v>0</v>
      </c>
      <c r="H298" s="111">
        <v>0</v>
      </c>
      <c r="I298" s="88">
        <f>IF(H298=0,0,$G298/H298)</f>
        <v>0</v>
      </c>
      <c r="J298" s="75">
        <v>45</v>
      </c>
      <c r="K298" s="89">
        <f>IF(J298=0,0,$G298/J298)</f>
        <v>0</v>
      </c>
      <c r="L298" s="75">
        <v>0</v>
      </c>
      <c r="M298" s="89">
        <f>IF(L298=0,0,$G298/L298)</f>
        <v>0</v>
      </c>
    </row>
    <row r="299" spans="1:15" ht="12.75" customHeight="1">
      <c r="A299" s="109"/>
      <c r="B299" s="91" t="s">
        <v>11</v>
      </c>
      <c r="C299" s="90" t="s">
        <v>58</v>
      </c>
      <c r="D299" s="90"/>
      <c r="E299" s="90"/>
      <c r="F299" s="92"/>
      <c r="G299" s="231">
        <f aca="true" t="shared" si="47" ref="G299:L299">SUM(G283:G298)</f>
        <v>301</v>
      </c>
      <c r="H299" s="93">
        <f t="shared" si="47"/>
        <v>265</v>
      </c>
      <c r="I299" s="94">
        <f t="shared" si="44"/>
        <v>1.1358490566037736</v>
      </c>
      <c r="J299" s="93">
        <f t="shared" si="47"/>
        <v>410.02</v>
      </c>
      <c r="K299" s="94">
        <f t="shared" si="45"/>
        <v>0.7341105311936004</v>
      </c>
      <c r="L299" s="93">
        <f t="shared" si="47"/>
        <v>272.5</v>
      </c>
      <c r="M299" s="94">
        <f t="shared" si="46"/>
        <v>1.1045871559633027</v>
      </c>
      <c r="O299" s="80"/>
    </row>
    <row r="300" spans="9:13" ht="12.75" customHeight="1">
      <c r="I300" s="88"/>
      <c r="K300" s="89"/>
      <c r="M300" s="89"/>
    </row>
    <row r="301" spans="1:13" ht="12.75" customHeight="1" thickBot="1">
      <c r="A301" s="108" t="s">
        <v>56</v>
      </c>
      <c r="B301" s="86" t="s">
        <v>347</v>
      </c>
      <c r="C301" s="85" t="s">
        <v>348</v>
      </c>
      <c r="D301" s="85" t="s">
        <v>349</v>
      </c>
      <c r="E301" s="85" t="s">
        <v>350</v>
      </c>
      <c r="F301" s="87" t="s">
        <v>351</v>
      </c>
      <c r="G301" s="230">
        <v>3</v>
      </c>
      <c r="H301" s="111">
        <v>3</v>
      </c>
      <c r="I301" s="88">
        <f>IF(H301=0,0,$G301/H301)</f>
        <v>1</v>
      </c>
      <c r="J301" s="75">
        <v>3</v>
      </c>
      <c r="K301" s="89">
        <f>IF(J301=0,0,$G301/J301)</f>
        <v>1</v>
      </c>
      <c r="L301" s="75">
        <v>0</v>
      </c>
      <c r="M301" s="89">
        <f>IF(L301=0,0,$G301/L301)</f>
        <v>0</v>
      </c>
    </row>
    <row r="302" spans="1:15" ht="12.75" customHeight="1">
      <c r="A302" s="109"/>
      <c r="B302" s="91" t="s">
        <v>11</v>
      </c>
      <c r="C302" s="90" t="s">
        <v>348</v>
      </c>
      <c r="D302" s="90"/>
      <c r="E302" s="90"/>
      <c r="F302" s="92"/>
      <c r="G302" s="231">
        <f>SUM(G301)</f>
        <v>3</v>
      </c>
      <c r="H302" s="93">
        <f>SUM(H301)</f>
        <v>3</v>
      </c>
      <c r="I302" s="94">
        <f>IF(H302=0,0,$G302/H302)</f>
        <v>1</v>
      </c>
      <c r="J302" s="93">
        <f>SUM(J301)</f>
        <v>3</v>
      </c>
      <c r="K302" s="94">
        <f>IF(J302=0,0,$G302/J302)</f>
        <v>1</v>
      </c>
      <c r="L302" s="93">
        <f>SUM(L301)</f>
        <v>0</v>
      </c>
      <c r="M302" s="94">
        <f>IF(L302=0,0,$G302/L302)</f>
        <v>0</v>
      </c>
      <c r="O302" s="80"/>
    </row>
    <row r="303" spans="9:13" ht="12.75" customHeight="1">
      <c r="I303" s="88"/>
      <c r="K303" s="89"/>
      <c r="M303" s="89"/>
    </row>
    <row r="304" spans="1:13" ht="12.75" customHeight="1">
      <c r="A304" s="108" t="s">
        <v>56</v>
      </c>
      <c r="B304" s="86" t="s">
        <v>352</v>
      </c>
      <c r="C304" s="85" t="s">
        <v>61</v>
      </c>
      <c r="D304" s="85" t="s">
        <v>217</v>
      </c>
      <c r="E304" s="85" t="s">
        <v>353</v>
      </c>
      <c r="F304" s="87" t="s">
        <v>613</v>
      </c>
      <c r="G304" s="230">
        <v>24</v>
      </c>
      <c r="H304" s="111">
        <v>0</v>
      </c>
      <c r="I304" s="88">
        <f>IF(H304=0,0,$G304/H304)</f>
        <v>0</v>
      </c>
      <c r="J304" s="75">
        <v>0</v>
      </c>
      <c r="K304" s="89">
        <f>IF(J304=0,0,$G304/J304)</f>
        <v>0</v>
      </c>
      <c r="L304" s="75">
        <v>14</v>
      </c>
      <c r="M304" s="89">
        <f>IF(L304=0,0,$G304/L304)</f>
        <v>1.7142857142857142</v>
      </c>
    </row>
    <row r="305" spans="1:13" ht="12.75" customHeight="1">
      <c r="A305" s="108" t="s">
        <v>56</v>
      </c>
      <c r="B305" s="86" t="s">
        <v>352</v>
      </c>
      <c r="C305" s="85" t="s">
        <v>61</v>
      </c>
      <c r="D305" s="85" t="s">
        <v>187</v>
      </c>
      <c r="E305" s="85" t="s">
        <v>353</v>
      </c>
      <c r="F305" s="87" t="s">
        <v>288</v>
      </c>
      <c r="G305" s="230">
        <v>3</v>
      </c>
      <c r="H305" s="111">
        <v>2</v>
      </c>
      <c r="I305" s="88">
        <f>IF(H305=0,0,$G305/H305)</f>
        <v>1.5</v>
      </c>
      <c r="J305" s="75">
        <v>2</v>
      </c>
      <c r="K305" s="89">
        <f>IF(J305=0,0,$G305/J305)</f>
        <v>1.5</v>
      </c>
      <c r="L305" s="75">
        <v>0.69</v>
      </c>
      <c r="M305" s="89">
        <f>IF(L305=0,0,$G305/L305)</f>
        <v>4.347826086956522</v>
      </c>
    </row>
    <row r="306" spans="1:13" ht="12.75" customHeight="1" thickBot="1">
      <c r="A306" s="108" t="s">
        <v>56</v>
      </c>
      <c r="B306" s="86" t="s">
        <v>354</v>
      </c>
      <c r="C306" s="85" t="s">
        <v>61</v>
      </c>
      <c r="D306" s="85" t="s">
        <v>191</v>
      </c>
      <c r="E306" s="85" t="s">
        <v>353</v>
      </c>
      <c r="F306" s="87" t="s">
        <v>355</v>
      </c>
      <c r="G306" s="230">
        <v>690</v>
      </c>
      <c r="H306" s="111">
        <v>660</v>
      </c>
      <c r="I306" s="88">
        <f>IF(H306=0,0,$G306/H306)</f>
        <v>1.0454545454545454</v>
      </c>
      <c r="J306" s="75">
        <v>690</v>
      </c>
      <c r="K306" s="89">
        <f>IF(J306=0,0,$G306/J306)</f>
        <v>1</v>
      </c>
      <c r="L306" s="75">
        <f>491.435+9.73</f>
        <v>501.165</v>
      </c>
      <c r="M306" s="89">
        <f>IF(L306=0,0,$G306/L306)</f>
        <v>1.376792074466493</v>
      </c>
    </row>
    <row r="307" spans="1:15" ht="12.75" customHeight="1">
      <c r="A307" s="109"/>
      <c r="B307" s="91" t="s">
        <v>11</v>
      </c>
      <c r="C307" s="90" t="s">
        <v>61</v>
      </c>
      <c r="D307" s="90"/>
      <c r="E307" s="90"/>
      <c r="F307" s="92"/>
      <c r="G307" s="231">
        <f>SUM(G304:G306)</f>
        <v>717</v>
      </c>
      <c r="H307" s="93">
        <f>SUM(H304:H306)</f>
        <v>662</v>
      </c>
      <c r="I307" s="94">
        <f>IF(H307=0,0,$G307/H307)</f>
        <v>1.0830815709969788</v>
      </c>
      <c r="J307" s="93">
        <f>SUM(J304:J306)</f>
        <v>692</v>
      </c>
      <c r="K307" s="94">
        <f>IF(J307=0,0,$G307/J307)</f>
        <v>1.0361271676300579</v>
      </c>
      <c r="L307" s="93">
        <f>SUM(L304:L306)</f>
        <v>515.855</v>
      </c>
      <c r="M307" s="94">
        <f>IF(L307=0,0,$G307/L307)</f>
        <v>1.389925463550804</v>
      </c>
      <c r="O307" s="80"/>
    </row>
    <row r="308" spans="9:13" ht="12.75" customHeight="1">
      <c r="I308" s="88"/>
      <c r="K308" s="89"/>
      <c r="M308" s="89"/>
    </row>
    <row r="309" spans="1:13" ht="12.75" customHeight="1">
      <c r="A309" s="108" t="s">
        <v>56</v>
      </c>
      <c r="B309" s="86" t="s">
        <v>356</v>
      </c>
      <c r="C309" s="85" t="s">
        <v>64</v>
      </c>
      <c r="D309" s="85" t="s">
        <v>217</v>
      </c>
      <c r="E309" s="85" t="s">
        <v>357</v>
      </c>
      <c r="F309" s="87" t="s">
        <v>338</v>
      </c>
      <c r="G309" s="230">
        <v>20</v>
      </c>
      <c r="H309" s="111">
        <v>22</v>
      </c>
      <c r="I309" s="88">
        <f aca="true" t="shared" si="48" ref="I309:I324">IF(H309=0,0,$G309/H309)</f>
        <v>0.9090909090909091</v>
      </c>
      <c r="J309" s="75">
        <f>22-10</f>
        <v>12</v>
      </c>
      <c r="K309" s="89">
        <f aca="true" t="shared" si="49" ref="K309:K324">IF(J309=0,0,$G309/J309)</f>
        <v>1.6666666666666667</v>
      </c>
      <c r="L309" s="75">
        <v>1.25</v>
      </c>
      <c r="M309" s="89">
        <f aca="true" t="shared" si="50" ref="M309:M324">IF(L309=0,0,$G309/L309)</f>
        <v>16</v>
      </c>
    </row>
    <row r="310" spans="1:13" ht="12.75" customHeight="1">
      <c r="A310" s="108" t="s">
        <v>56</v>
      </c>
      <c r="B310" s="86" t="s">
        <v>356</v>
      </c>
      <c r="C310" s="85" t="s">
        <v>64</v>
      </c>
      <c r="D310" s="85" t="s">
        <v>220</v>
      </c>
      <c r="E310" s="85" t="s">
        <v>357</v>
      </c>
      <c r="F310" s="87" t="s">
        <v>286</v>
      </c>
      <c r="G310" s="230">
        <v>5</v>
      </c>
      <c r="H310" s="111">
        <v>0</v>
      </c>
      <c r="I310" s="88">
        <f t="shared" si="48"/>
        <v>0</v>
      </c>
      <c r="J310" s="75">
        <v>0</v>
      </c>
      <c r="K310" s="89">
        <f t="shared" si="49"/>
        <v>0</v>
      </c>
      <c r="L310" s="75">
        <v>0</v>
      </c>
      <c r="M310" s="89">
        <f t="shared" si="50"/>
        <v>0</v>
      </c>
    </row>
    <row r="311" spans="1:13" ht="12.75" customHeight="1">
      <c r="A311" s="108" t="s">
        <v>56</v>
      </c>
      <c r="B311" s="86" t="s">
        <v>356</v>
      </c>
      <c r="C311" s="85" t="s">
        <v>64</v>
      </c>
      <c r="D311" s="85" t="s">
        <v>222</v>
      </c>
      <c r="E311" s="85" t="s">
        <v>357</v>
      </c>
      <c r="F311" s="87" t="s">
        <v>287</v>
      </c>
      <c r="G311" s="230">
        <v>2</v>
      </c>
      <c r="H311" s="111">
        <v>0</v>
      </c>
      <c r="I311" s="88">
        <f t="shared" si="48"/>
        <v>0</v>
      </c>
      <c r="J311" s="75">
        <v>0</v>
      </c>
      <c r="K311" s="89">
        <f t="shared" si="49"/>
        <v>0</v>
      </c>
      <c r="L311" s="75">
        <v>0</v>
      </c>
      <c r="M311" s="89">
        <f t="shared" si="50"/>
        <v>0</v>
      </c>
    </row>
    <row r="312" spans="1:13" ht="12.75" customHeight="1">
      <c r="A312" s="108" t="s">
        <v>56</v>
      </c>
      <c r="B312" s="86" t="s">
        <v>356</v>
      </c>
      <c r="C312" s="85" t="s">
        <v>64</v>
      </c>
      <c r="D312" s="85" t="s">
        <v>253</v>
      </c>
      <c r="E312" s="85" t="s">
        <v>357</v>
      </c>
      <c r="F312" s="87" t="s">
        <v>254</v>
      </c>
      <c r="G312" s="230">
        <v>2</v>
      </c>
      <c r="H312" s="111">
        <v>0</v>
      </c>
      <c r="I312" s="88">
        <f t="shared" si="48"/>
        <v>0</v>
      </c>
      <c r="J312" s="75">
        <v>0</v>
      </c>
      <c r="K312" s="89">
        <f t="shared" si="49"/>
        <v>0</v>
      </c>
      <c r="L312" s="75">
        <v>0.51</v>
      </c>
      <c r="M312" s="89">
        <f t="shared" si="50"/>
        <v>3.9215686274509802</v>
      </c>
    </row>
    <row r="313" spans="1:13" ht="12.75" customHeight="1">
      <c r="A313" s="108" t="s">
        <v>56</v>
      </c>
      <c r="B313" s="86" t="s">
        <v>356</v>
      </c>
      <c r="C313" s="85" t="s">
        <v>64</v>
      </c>
      <c r="D313" s="85" t="s">
        <v>227</v>
      </c>
      <c r="E313" s="85" t="s">
        <v>357</v>
      </c>
      <c r="F313" s="87" t="s">
        <v>804</v>
      </c>
      <c r="G313" s="230">
        <v>20</v>
      </c>
      <c r="H313" s="111">
        <v>10</v>
      </c>
      <c r="I313" s="88">
        <f t="shared" si="48"/>
        <v>2</v>
      </c>
      <c r="J313" s="75">
        <v>10</v>
      </c>
      <c r="K313" s="89">
        <f t="shared" si="49"/>
        <v>2</v>
      </c>
      <c r="L313" s="75">
        <v>0</v>
      </c>
      <c r="M313" s="89">
        <f t="shared" si="50"/>
        <v>0</v>
      </c>
    </row>
    <row r="314" spans="1:13" ht="12.75" customHeight="1">
      <c r="A314" s="108" t="s">
        <v>56</v>
      </c>
      <c r="B314" s="86" t="s">
        <v>356</v>
      </c>
      <c r="C314" s="85" t="s">
        <v>64</v>
      </c>
      <c r="D314" s="85" t="s">
        <v>176</v>
      </c>
      <c r="E314" s="85" t="s">
        <v>357</v>
      </c>
      <c r="F314" s="87" t="s">
        <v>178</v>
      </c>
      <c r="G314" s="230">
        <v>16</v>
      </c>
      <c r="H314" s="111">
        <v>10</v>
      </c>
      <c r="I314" s="88">
        <f t="shared" si="48"/>
        <v>1.6</v>
      </c>
      <c r="J314" s="75">
        <v>10</v>
      </c>
      <c r="K314" s="89">
        <f t="shared" si="49"/>
        <v>1.6</v>
      </c>
      <c r="L314" s="75">
        <v>0.977</v>
      </c>
      <c r="M314" s="89">
        <f t="shared" si="50"/>
        <v>16.37666325486182</v>
      </c>
    </row>
    <row r="315" spans="1:13" ht="12.75" customHeight="1">
      <c r="A315" s="108" t="s">
        <v>56</v>
      </c>
      <c r="B315" s="86" t="s">
        <v>356</v>
      </c>
      <c r="C315" s="85" t="s">
        <v>64</v>
      </c>
      <c r="D315" s="85" t="s">
        <v>183</v>
      </c>
      <c r="E315" s="85" t="s">
        <v>357</v>
      </c>
      <c r="F315" s="87" t="s">
        <v>342</v>
      </c>
      <c r="G315" s="230">
        <v>1</v>
      </c>
      <c r="H315" s="111">
        <v>0</v>
      </c>
      <c r="I315" s="88">
        <f t="shared" si="48"/>
        <v>0</v>
      </c>
      <c r="J315" s="75">
        <v>0</v>
      </c>
      <c r="K315" s="89">
        <f t="shared" si="49"/>
        <v>0</v>
      </c>
      <c r="L315" s="75">
        <v>0.558</v>
      </c>
      <c r="M315" s="89">
        <f t="shared" si="50"/>
        <v>1.7921146953405016</v>
      </c>
    </row>
    <row r="316" spans="1:13" ht="12.75" customHeight="1">
      <c r="A316" s="108" t="s">
        <v>56</v>
      </c>
      <c r="B316" s="86" t="s">
        <v>356</v>
      </c>
      <c r="C316" s="85" t="s">
        <v>64</v>
      </c>
      <c r="D316" s="85" t="s">
        <v>233</v>
      </c>
      <c r="E316" s="85" t="s">
        <v>357</v>
      </c>
      <c r="F316" s="87" t="s">
        <v>234</v>
      </c>
      <c r="G316" s="230">
        <v>0</v>
      </c>
      <c r="H316" s="111">
        <v>0</v>
      </c>
      <c r="I316" s="88">
        <f t="shared" si="48"/>
        <v>0</v>
      </c>
      <c r="J316" s="75">
        <v>0</v>
      </c>
      <c r="K316" s="89">
        <f t="shared" si="49"/>
        <v>0</v>
      </c>
      <c r="L316" s="75">
        <v>2.628</v>
      </c>
      <c r="M316" s="89">
        <f t="shared" si="50"/>
        <v>0</v>
      </c>
    </row>
    <row r="317" spans="1:13" ht="12.75" customHeight="1">
      <c r="A317" s="108" t="s">
        <v>56</v>
      </c>
      <c r="B317" s="86" t="s">
        <v>356</v>
      </c>
      <c r="C317" s="85" t="s">
        <v>64</v>
      </c>
      <c r="D317" s="85" t="s">
        <v>289</v>
      </c>
      <c r="E317" s="85" t="s">
        <v>357</v>
      </c>
      <c r="F317" s="87" t="s">
        <v>358</v>
      </c>
      <c r="G317" s="230">
        <v>15</v>
      </c>
      <c r="H317" s="111">
        <v>70</v>
      </c>
      <c r="I317" s="88">
        <f t="shared" si="48"/>
        <v>0.21428571428571427</v>
      </c>
      <c r="J317" s="75">
        <f>70-50</f>
        <v>20</v>
      </c>
      <c r="K317" s="89">
        <f t="shared" si="49"/>
        <v>0.75</v>
      </c>
      <c r="L317" s="75">
        <v>0</v>
      </c>
      <c r="M317" s="89">
        <f t="shared" si="50"/>
        <v>0</v>
      </c>
    </row>
    <row r="318" spans="1:13" ht="12.75" customHeight="1">
      <c r="A318" s="108" t="s">
        <v>56</v>
      </c>
      <c r="B318" s="86" t="s">
        <v>356</v>
      </c>
      <c r="C318" s="85" t="s">
        <v>64</v>
      </c>
      <c r="D318" s="85" t="s">
        <v>191</v>
      </c>
      <c r="E318" s="85" t="s">
        <v>357</v>
      </c>
      <c r="F318" s="87" t="s">
        <v>238</v>
      </c>
      <c r="G318" s="230">
        <v>255</v>
      </c>
      <c r="H318" s="111">
        <v>235</v>
      </c>
      <c r="I318" s="88">
        <f t="shared" si="48"/>
        <v>1.0851063829787233</v>
      </c>
      <c r="J318" s="75">
        <v>235</v>
      </c>
      <c r="K318" s="89">
        <f t="shared" si="49"/>
        <v>1.0851063829787233</v>
      </c>
      <c r="L318" s="75">
        <v>132.054</v>
      </c>
      <c r="M318" s="89">
        <f t="shared" si="50"/>
        <v>1.9310282157299286</v>
      </c>
    </row>
    <row r="319" spans="1:13" ht="12.75" customHeight="1">
      <c r="A319" s="108" t="s">
        <v>56</v>
      </c>
      <c r="B319" s="86" t="s">
        <v>356</v>
      </c>
      <c r="C319" s="85" t="s">
        <v>64</v>
      </c>
      <c r="D319" s="85" t="s">
        <v>193</v>
      </c>
      <c r="E319" s="85" t="s">
        <v>357</v>
      </c>
      <c r="F319" s="87" t="s">
        <v>239</v>
      </c>
      <c r="G319" s="230">
        <v>10</v>
      </c>
      <c r="H319" s="111">
        <v>0</v>
      </c>
      <c r="I319" s="88">
        <f t="shared" si="48"/>
        <v>0</v>
      </c>
      <c r="J319" s="75">
        <v>0</v>
      </c>
      <c r="K319" s="89">
        <f t="shared" si="49"/>
        <v>0</v>
      </c>
      <c r="L319" s="75">
        <v>0</v>
      </c>
      <c r="M319" s="89">
        <f t="shared" si="50"/>
        <v>0</v>
      </c>
    </row>
    <row r="320" spans="1:13" ht="12.75" customHeight="1">
      <c r="A320" s="108" t="s">
        <v>56</v>
      </c>
      <c r="B320" s="86" t="s">
        <v>356</v>
      </c>
      <c r="C320" s="85" t="s">
        <v>64</v>
      </c>
      <c r="D320" s="85" t="s">
        <v>256</v>
      </c>
      <c r="E320" s="85" t="s">
        <v>357</v>
      </c>
      <c r="F320" s="87" t="s">
        <v>257</v>
      </c>
      <c r="G320" s="230">
        <v>6</v>
      </c>
      <c r="H320" s="111">
        <v>0</v>
      </c>
      <c r="I320" s="88">
        <f t="shared" si="48"/>
        <v>0</v>
      </c>
      <c r="J320" s="75">
        <v>0</v>
      </c>
      <c r="K320" s="89">
        <f t="shared" si="49"/>
        <v>0</v>
      </c>
      <c r="L320" s="75">
        <v>0</v>
      </c>
      <c r="M320" s="89">
        <f t="shared" si="50"/>
        <v>0</v>
      </c>
    </row>
    <row r="321" spans="1:13" ht="12.75" customHeight="1">
      <c r="A321" s="108" t="s">
        <v>56</v>
      </c>
      <c r="B321" s="86" t="s">
        <v>356</v>
      </c>
      <c r="C321" s="85" t="s">
        <v>64</v>
      </c>
      <c r="D321" s="85" t="s">
        <v>195</v>
      </c>
      <c r="E321" s="85" t="s">
        <v>357</v>
      </c>
      <c r="F321" s="87" t="s">
        <v>258</v>
      </c>
      <c r="G321" s="230">
        <v>15</v>
      </c>
      <c r="H321" s="111">
        <v>10</v>
      </c>
      <c r="I321" s="88">
        <f t="shared" si="48"/>
        <v>1.5</v>
      </c>
      <c r="J321" s="75">
        <v>10</v>
      </c>
      <c r="K321" s="89">
        <f t="shared" si="49"/>
        <v>1.5</v>
      </c>
      <c r="L321" s="75">
        <v>0.422</v>
      </c>
      <c r="M321" s="89">
        <f t="shared" si="50"/>
        <v>35.54502369668246</v>
      </c>
    </row>
    <row r="322" spans="1:13" ht="12.75" customHeight="1">
      <c r="A322" s="108" t="s">
        <v>56</v>
      </c>
      <c r="B322" s="86" t="s">
        <v>356</v>
      </c>
      <c r="C322" s="85" t="s">
        <v>64</v>
      </c>
      <c r="D322" s="85" t="s">
        <v>614</v>
      </c>
      <c r="E322" s="85" t="s">
        <v>357</v>
      </c>
      <c r="F322" s="87" t="s">
        <v>615</v>
      </c>
      <c r="G322" s="230">
        <v>0</v>
      </c>
      <c r="H322" s="111">
        <v>15</v>
      </c>
      <c r="I322" s="88">
        <f t="shared" si="48"/>
        <v>0</v>
      </c>
      <c r="J322" s="75">
        <v>15</v>
      </c>
      <c r="K322" s="89">
        <f t="shared" si="49"/>
        <v>0</v>
      </c>
      <c r="L322" s="75">
        <v>0</v>
      </c>
      <c r="M322" s="89">
        <f t="shared" si="50"/>
        <v>0</v>
      </c>
    </row>
    <row r="323" spans="1:13" ht="12.75" customHeight="1" thickBot="1">
      <c r="A323" s="108" t="s">
        <v>56</v>
      </c>
      <c r="B323" s="86" t="s">
        <v>356</v>
      </c>
      <c r="C323" s="85" t="s">
        <v>64</v>
      </c>
      <c r="D323" s="85" t="s">
        <v>349</v>
      </c>
      <c r="E323" s="85" t="s">
        <v>357</v>
      </c>
      <c r="F323" s="87" t="s">
        <v>785</v>
      </c>
      <c r="G323" s="230">
        <v>0</v>
      </c>
      <c r="H323" s="111">
        <v>0</v>
      </c>
      <c r="I323" s="88">
        <f>IF(H323=0,0,$G323/H323)</f>
        <v>0</v>
      </c>
      <c r="J323" s="75">
        <v>60</v>
      </c>
      <c r="K323" s="89">
        <f>IF(J323=0,0,$G323/J323)</f>
        <v>0</v>
      </c>
      <c r="L323" s="75">
        <v>0</v>
      </c>
      <c r="M323" s="89">
        <f>IF(L323=0,0,$G323/L323)</f>
        <v>0</v>
      </c>
    </row>
    <row r="324" spans="1:15" ht="12.75" customHeight="1">
      <c r="A324" s="109"/>
      <c r="B324" s="91" t="s">
        <v>11</v>
      </c>
      <c r="C324" s="90" t="s">
        <v>64</v>
      </c>
      <c r="D324" s="90"/>
      <c r="E324" s="90"/>
      <c r="F324" s="92"/>
      <c r="G324" s="231">
        <f aca="true" t="shared" si="51" ref="G324:L324">SUM(G309:G323)</f>
        <v>367</v>
      </c>
      <c r="H324" s="93">
        <f t="shared" si="51"/>
        <v>372</v>
      </c>
      <c r="I324" s="94">
        <f t="shared" si="48"/>
        <v>0.9865591397849462</v>
      </c>
      <c r="J324" s="93">
        <f t="shared" si="51"/>
        <v>372</v>
      </c>
      <c r="K324" s="94">
        <f t="shared" si="49"/>
        <v>0.9865591397849462</v>
      </c>
      <c r="L324" s="93">
        <f t="shared" si="51"/>
        <v>138.399</v>
      </c>
      <c r="M324" s="94">
        <f t="shared" si="50"/>
        <v>2.65175326411318</v>
      </c>
      <c r="O324" s="80"/>
    </row>
    <row r="325" spans="9:13" ht="12.75" customHeight="1">
      <c r="I325" s="88"/>
      <c r="K325" s="89"/>
      <c r="M325" s="89"/>
    </row>
    <row r="326" spans="1:13" ht="12.75" customHeight="1">
      <c r="A326" s="108" t="s">
        <v>56</v>
      </c>
      <c r="B326" s="86" t="s">
        <v>359</v>
      </c>
      <c r="C326" s="85" t="s">
        <v>67</v>
      </c>
      <c r="D326" s="85" t="s">
        <v>217</v>
      </c>
      <c r="E326" s="85" t="s">
        <v>360</v>
      </c>
      <c r="F326" s="87" t="s">
        <v>361</v>
      </c>
      <c r="G326" s="230">
        <v>35</v>
      </c>
      <c r="H326" s="111">
        <v>15</v>
      </c>
      <c r="I326" s="88">
        <f aca="true" t="shared" si="52" ref="I326:I347">IF(H326=0,0,$G326/H326)</f>
        <v>2.3333333333333335</v>
      </c>
      <c r="J326" s="75">
        <v>15</v>
      </c>
      <c r="K326" s="89">
        <f aca="true" t="shared" si="53" ref="K326:K347">IF(J326=0,0,$G326/J326)</f>
        <v>2.3333333333333335</v>
      </c>
      <c r="L326" s="75">
        <v>0</v>
      </c>
      <c r="M326" s="89">
        <f aca="true" t="shared" si="54" ref="M326:M347">IF(L326=0,0,$G326/L326)</f>
        <v>0</v>
      </c>
    </row>
    <row r="327" spans="1:13" ht="12.75" customHeight="1">
      <c r="A327" s="108" t="s">
        <v>56</v>
      </c>
      <c r="B327" s="86" t="s">
        <v>359</v>
      </c>
      <c r="C327" s="85" t="s">
        <v>67</v>
      </c>
      <c r="D327" s="85" t="s">
        <v>211</v>
      </c>
      <c r="E327" s="85" t="s">
        <v>360</v>
      </c>
      <c r="F327" s="87" t="s">
        <v>224</v>
      </c>
      <c r="G327" s="230">
        <v>0</v>
      </c>
      <c r="H327" s="111">
        <v>4</v>
      </c>
      <c r="I327" s="88">
        <f t="shared" si="52"/>
        <v>0</v>
      </c>
      <c r="J327" s="75">
        <v>4</v>
      </c>
      <c r="K327" s="89">
        <f t="shared" si="53"/>
        <v>0</v>
      </c>
      <c r="L327" s="75">
        <v>1.47</v>
      </c>
      <c r="M327" s="89">
        <f t="shared" si="54"/>
        <v>0</v>
      </c>
    </row>
    <row r="328" spans="1:13" ht="12.75" customHeight="1">
      <c r="A328" s="108" t="s">
        <v>56</v>
      </c>
      <c r="B328" s="86" t="s">
        <v>359</v>
      </c>
      <c r="C328" s="85" t="s">
        <v>67</v>
      </c>
      <c r="D328" s="85" t="s">
        <v>253</v>
      </c>
      <c r="E328" s="85" t="s">
        <v>360</v>
      </c>
      <c r="F328" s="87" t="s">
        <v>254</v>
      </c>
      <c r="G328" s="230">
        <v>1</v>
      </c>
      <c r="H328" s="111">
        <v>1</v>
      </c>
      <c r="I328" s="88">
        <f t="shared" si="52"/>
        <v>1</v>
      </c>
      <c r="J328" s="75">
        <v>1</v>
      </c>
      <c r="K328" s="89">
        <f t="shared" si="53"/>
        <v>1</v>
      </c>
      <c r="L328" s="75">
        <v>0</v>
      </c>
      <c r="M328" s="89">
        <f t="shared" si="54"/>
        <v>0</v>
      </c>
    </row>
    <row r="329" spans="1:13" ht="12.75" customHeight="1">
      <c r="A329" s="108" t="s">
        <v>56</v>
      </c>
      <c r="B329" s="86" t="s">
        <v>359</v>
      </c>
      <c r="C329" s="85" t="s">
        <v>67</v>
      </c>
      <c r="D329" s="85" t="s">
        <v>227</v>
      </c>
      <c r="E329" s="85" t="s">
        <v>360</v>
      </c>
      <c r="F329" s="87" t="s">
        <v>228</v>
      </c>
      <c r="G329" s="230">
        <v>17</v>
      </c>
      <c r="H329" s="111">
        <v>0</v>
      </c>
      <c r="I329" s="88">
        <f t="shared" si="52"/>
        <v>0</v>
      </c>
      <c r="J329" s="75">
        <v>17</v>
      </c>
      <c r="K329" s="89">
        <f t="shared" si="53"/>
        <v>1</v>
      </c>
      <c r="L329" s="75">
        <v>15.334</v>
      </c>
      <c r="M329" s="89">
        <f t="shared" si="54"/>
        <v>1.1086474501108647</v>
      </c>
    </row>
    <row r="330" spans="1:13" ht="12.75" customHeight="1">
      <c r="A330" s="108" t="s">
        <v>56</v>
      </c>
      <c r="B330" s="86" t="s">
        <v>359</v>
      </c>
      <c r="C330" s="85" t="s">
        <v>67</v>
      </c>
      <c r="D330" s="85" t="s">
        <v>340</v>
      </c>
      <c r="E330" s="85" t="s">
        <v>360</v>
      </c>
      <c r="F330" s="87" t="s">
        <v>341</v>
      </c>
      <c r="G330" s="230">
        <v>10</v>
      </c>
      <c r="H330" s="111">
        <v>20</v>
      </c>
      <c r="I330" s="88">
        <f t="shared" si="52"/>
        <v>0.5</v>
      </c>
      <c r="J330" s="75">
        <f>16.5-5</f>
        <v>11.5</v>
      </c>
      <c r="K330" s="89">
        <f t="shared" si="53"/>
        <v>0.8695652173913043</v>
      </c>
      <c r="L330" s="75">
        <v>2.204</v>
      </c>
      <c r="M330" s="89">
        <f t="shared" si="54"/>
        <v>4.537205081669691</v>
      </c>
    </row>
    <row r="331" spans="1:13" ht="12.75" customHeight="1">
      <c r="A331" s="108" t="s">
        <v>56</v>
      </c>
      <c r="B331" s="86" t="s">
        <v>359</v>
      </c>
      <c r="C331" s="85" t="s">
        <v>67</v>
      </c>
      <c r="D331" s="85" t="s">
        <v>176</v>
      </c>
      <c r="E331" s="85" t="s">
        <v>360</v>
      </c>
      <c r="F331" s="87" t="s">
        <v>178</v>
      </c>
      <c r="G331" s="230">
        <v>21</v>
      </c>
      <c r="H331" s="111">
        <v>10</v>
      </c>
      <c r="I331" s="88">
        <f t="shared" si="52"/>
        <v>2.1</v>
      </c>
      <c r="J331" s="75">
        <v>21.65</v>
      </c>
      <c r="K331" s="89">
        <f t="shared" si="53"/>
        <v>0.9699769053117784</v>
      </c>
      <c r="L331" s="75">
        <v>20.496</v>
      </c>
      <c r="M331" s="89">
        <f t="shared" si="54"/>
        <v>1.0245901639344264</v>
      </c>
    </row>
    <row r="332" spans="1:13" ht="12.75" customHeight="1">
      <c r="A332" s="108" t="s">
        <v>56</v>
      </c>
      <c r="B332" s="86" t="s">
        <v>359</v>
      </c>
      <c r="C332" s="85" t="s">
        <v>67</v>
      </c>
      <c r="D332" s="85" t="s">
        <v>183</v>
      </c>
      <c r="E332" s="85" t="s">
        <v>360</v>
      </c>
      <c r="F332" s="87" t="s">
        <v>342</v>
      </c>
      <c r="G332" s="230">
        <v>18</v>
      </c>
      <c r="H332" s="111">
        <v>8</v>
      </c>
      <c r="I332" s="88">
        <f t="shared" si="52"/>
        <v>2.25</v>
      </c>
      <c r="J332" s="75">
        <v>11.5</v>
      </c>
      <c r="K332" s="89">
        <f t="shared" si="53"/>
        <v>1.565217391304348</v>
      </c>
      <c r="L332" s="75">
        <v>8.987</v>
      </c>
      <c r="M332" s="89">
        <f t="shared" si="54"/>
        <v>2.002893067764549</v>
      </c>
    </row>
    <row r="333" spans="1:13" ht="12.75" customHeight="1">
      <c r="A333" s="108" t="s">
        <v>56</v>
      </c>
      <c r="B333" s="86" t="s">
        <v>359</v>
      </c>
      <c r="C333" s="85" t="s">
        <v>67</v>
      </c>
      <c r="D333" s="85" t="s">
        <v>233</v>
      </c>
      <c r="E333" s="85" t="s">
        <v>360</v>
      </c>
      <c r="F333" s="87" t="s">
        <v>234</v>
      </c>
      <c r="G333" s="230">
        <v>5</v>
      </c>
      <c r="H333" s="111">
        <v>5</v>
      </c>
      <c r="I333" s="88">
        <f t="shared" si="52"/>
        <v>1</v>
      </c>
      <c r="J333" s="75">
        <f>5-5</f>
        <v>0</v>
      </c>
      <c r="K333" s="89">
        <f t="shared" si="53"/>
        <v>0</v>
      </c>
      <c r="L333" s="75">
        <v>0</v>
      </c>
      <c r="M333" s="89">
        <f t="shared" si="54"/>
        <v>0</v>
      </c>
    </row>
    <row r="334" spans="1:13" ht="12.75" customHeight="1">
      <c r="A334" s="108" t="s">
        <v>56</v>
      </c>
      <c r="B334" s="86" t="s">
        <v>359</v>
      </c>
      <c r="C334" s="85" t="s">
        <v>67</v>
      </c>
      <c r="D334" s="85" t="s">
        <v>289</v>
      </c>
      <c r="E334" s="85" t="s">
        <v>360</v>
      </c>
      <c r="F334" s="87" t="s">
        <v>362</v>
      </c>
      <c r="G334" s="230">
        <v>6</v>
      </c>
      <c r="H334" s="111">
        <v>10</v>
      </c>
      <c r="I334" s="88">
        <f t="shared" si="52"/>
        <v>0.6</v>
      </c>
      <c r="J334" s="75">
        <v>10</v>
      </c>
      <c r="K334" s="89">
        <f t="shared" si="53"/>
        <v>0.6</v>
      </c>
      <c r="L334" s="75">
        <v>0</v>
      </c>
      <c r="M334" s="89">
        <f t="shared" si="54"/>
        <v>0</v>
      </c>
    </row>
    <row r="335" spans="1:13" ht="12.75" customHeight="1">
      <c r="A335" s="108" t="s">
        <v>56</v>
      </c>
      <c r="B335" s="86" t="s">
        <v>359</v>
      </c>
      <c r="C335" s="85" t="s">
        <v>67</v>
      </c>
      <c r="D335" s="85" t="s">
        <v>191</v>
      </c>
      <c r="E335" s="85" t="s">
        <v>360</v>
      </c>
      <c r="F335" s="87" t="s">
        <v>363</v>
      </c>
      <c r="G335" s="230">
        <v>350</v>
      </c>
      <c r="H335" s="111">
        <v>220</v>
      </c>
      <c r="I335" s="88">
        <f t="shared" si="52"/>
        <v>1.5909090909090908</v>
      </c>
      <c r="J335" s="75">
        <v>287.5</v>
      </c>
      <c r="K335" s="89">
        <f t="shared" si="53"/>
        <v>1.2173913043478262</v>
      </c>
      <c r="L335" s="75">
        <v>280.812</v>
      </c>
      <c r="M335" s="89">
        <f t="shared" si="54"/>
        <v>1.2463854821019045</v>
      </c>
    </row>
    <row r="336" spans="1:13" ht="12.75" customHeight="1">
      <c r="A336" s="108" t="s">
        <v>56</v>
      </c>
      <c r="B336" s="86" t="s">
        <v>359</v>
      </c>
      <c r="C336" s="85" t="s">
        <v>67</v>
      </c>
      <c r="D336" s="85" t="s">
        <v>193</v>
      </c>
      <c r="E336" s="85" t="s">
        <v>360</v>
      </c>
      <c r="F336" s="87" t="s">
        <v>239</v>
      </c>
      <c r="G336" s="230">
        <v>15</v>
      </c>
      <c r="H336" s="111">
        <v>20</v>
      </c>
      <c r="I336" s="88">
        <f t="shared" si="52"/>
        <v>0.75</v>
      </c>
      <c r="J336" s="75">
        <v>20</v>
      </c>
      <c r="K336" s="89">
        <f t="shared" si="53"/>
        <v>0.75</v>
      </c>
      <c r="L336" s="75">
        <v>3.37</v>
      </c>
      <c r="M336" s="89">
        <f t="shared" si="54"/>
        <v>4.451038575667655</v>
      </c>
    </row>
    <row r="337" spans="1:13" ht="12.75" customHeight="1">
      <c r="A337" s="108" t="s">
        <v>56</v>
      </c>
      <c r="B337" s="86" t="s">
        <v>359</v>
      </c>
      <c r="C337" s="85" t="s">
        <v>67</v>
      </c>
      <c r="D337" s="85" t="s">
        <v>256</v>
      </c>
      <c r="E337" s="85" t="s">
        <v>360</v>
      </c>
      <c r="F337" s="87" t="s">
        <v>257</v>
      </c>
      <c r="G337" s="230">
        <v>5</v>
      </c>
      <c r="H337" s="111">
        <v>15</v>
      </c>
      <c r="I337" s="88">
        <f t="shared" si="52"/>
        <v>0.3333333333333333</v>
      </c>
      <c r="J337" s="75">
        <v>0</v>
      </c>
      <c r="K337" s="89">
        <f t="shared" si="53"/>
        <v>0</v>
      </c>
      <c r="L337" s="75">
        <v>0</v>
      </c>
      <c r="M337" s="89">
        <f t="shared" si="54"/>
        <v>0</v>
      </c>
    </row>
    <row r="338" spans="1:13" ht="12.75" customHeight="1">
      <c r="A338" s="108" t="s">
        <v>56</v>
      </c>
      <c r="B338" s="86" t="s">
        <v>359</v>
      </c>
      <c r="C338" s="85" t="s">
        <v>67</v>
      </c>
      <c r="D338" s="85" t="s">
        <v>195</v>
      </c>
      <c r="E338" s="85" t="s">
        <v>360</v>
      </c>
      <c r="F338" s="87" t="s">
        <v>364</v>
      </c>
      <c r="G338" s="230">
        <v>30</v>
      </c>
      <c r="H338" s="111">
        <v>40</v>
      </c>
      <c r="I338" s="88">
        <f t="shared" si="52"/>
        <v>0.75</v>
      </c>
      <c r="J338" s="75">
        <v>15.43</v>
      </c>
      <c r="K338" s="89">
        <f t="shared" si="53"/>
        <v>1.9442644199611148</v>
      </c>
      <c r="L338" s="75">
        <v>6.404</v>
      </c>
      <c r="M338" s="89">
        <f t="shared" si="54"/>
        <v>4.684572142410993</v>
      </c>
    </row>
    <row r="339" spans="1:13" ht="12.75" customHeight="1">
      <c r="A339" s="108" t="s">
        <v>56</v>
      </c>
      <c r="B339" s="86" t="s">
        <v>359</v>
      </c>
      <c r="C339" s="85" t="s">
        <v>67</v>
      </c>
      <c r="D339" s="85" t="s">
        <v>261</v>
      </c>
      <c r="E339" s="85" t="s">
        <v>360</v>
      </c>
      <c r="F339" s="87" t="s">
        <v>262</v>
      </c>
      <c r="G339" s="230">
        <v>10</v>
      </c>
      <c r="H339" s="111">
        <v>10</v>
      </c>
      <c r="I339" s="88">
        <f t="shared" si="52"/>
        <v>1</v>
      </c>
      <c r="J339" s="75">
        <v>10</v>
      </c>
      <c r="K339" s="89">
        <f t="shared" si="53"/>
        <v>1</v>
      </c>
      <c r="L339" s="75">
        <v>1.248</v>
      </c>
      <c r="M339" s="89">
        <f t="shared" si="54"/>
        <v>8.012820512820513</v>
      </c>
    </row>
    <row r="340" spans="1:13" ht="12.75" customHeight="1">
      <c r="A340" s="108" t="s">
        <v>56</v>
      </c>
      <c r="B340" s="86" t="s">
        <v>359</v>
      </c>
      <c r="C340" s="85" t="s">
        <v>67</v>
      </c>
      <c r="D340" s="85" t="s">
        <v>365</v>
      </c>
      <c r="E340" s="85" t="s">
        <v>360</v>
      </c>
      <c r="F340" s="87" t="s">
        <v>366</v>
      </c>
      <c r="G340" s="230">
        <v>230</v>
      </c>
      <c r="H340" s="111">
        <v>0</v>
      </c>
      <c r="I340" s="88">
        <f t="shared" si="52"/>
        <v>0</v>
      </c>
      <c r="J340" s="75">
        <v>113.5</v>
      </c>
      <c r="K340" s="89">
        <f t="shared" si="53"/>
        <v>2.026431718061674</v>
      </c>
      <c r="L340" s="75">
        <v>113.5</v>
      </c>
      <c r="M340" s="89">
        <f t="shared" si="54"/>
        <v>2.026431718061674</v>
      </c>
    </row>
    <row r="341" spans="1:13" ht="12.75" customHeight="1">
      <c r="A341" s="108" t="s">
        <v>56</v>
      </c>
      <c r="B341" s="86" t="s">
        <v>359</v>
      </c>
      <c r="C341" s="85" t="s">
        <v>67</v>
      </c>
      <c r="D341" s="85" t="s">
        <v>616</v>
      </c>
      <c r="E341" s="85" t="s">
        <v>360</v>
      </c>
      <c r="F341" s="87" t="s">
        <v>617</v>
      </c>
      <c r="G341" s="230">
        <v>0</v>
      </c>
      <c r="H341" s="111">
        <v>0</v>
      </c>
      <c r="I341" s="88">
        <f t="shared" si="52"/>
        <v>0</v>
      </c>
      <c r="J341" s="75">
        <v>7.5</v>
      </c>
      <c r="K341" s="89">
        <f t="shared" si="53"/>
        <v>0</v>
      </c>
      <c r="L341" s="75">
        <v>7.5</v>
      </c>
      <c r="M341" s="89">
        <f t="shared" si="54"/>
        <v>0</v>
      </c>
    </row>
    <row r="342" spans="1:13" ht="12.75" customHeight="1">
      <c r="A342" s="108" t="s">
        <v>56</v>
      </c>
      <c r="B342" s="86" t="s">
        <v>359</v>
      </c>
      <c r="C342" s="85" t="s">
        <v>67</v>
      </c>
      <c r="D342" s="85" t="s">
        <v>263</v>
      </c>
      <c r="E342" s="85" t="s">
        <v>360</v>
      </c>
      <c r="F342" s="87" t="s">
        <v>367</v>
      </c>
      <c r="G342" s="230">
        <v>100</v>
      </c>
      <c r="H342" s="111">
        <v>330</v>
      </c>
      <c r="I342" s="88">
        <f t="shared" si="52"/>
        <v>0.30303030303030304</v>
      </c>
      <c r="J342" s="75">
        <v>234.33</v>
      </c>
      <c r="K342" s="89">
        <f t="shared" si="53"/>
        <v>0.4267486023983271</v>
      </c>
      <c r="L342" s="75">
        <v>204.334</v>
      </c>
      <c r="M342" s="89">
        <f t="shared" si="54"/>
        <v>0.4893948143725469</v>
      </c>
    </row>
    <row r="343" spans="1:13" ht="12.75" customHeight="1">
      <c r="A343" s="108" t="s">
        <v>56</v>
      </c>
      <c r="B343" s="86" t="s">
        <v>359</v>
      </c>
      <c r="C343" s="85" t="s">
        <v>67</v>
      </c>
      <c r="D343" s="85" t="s">
        <v>575</v>
      </c>
      <c r="E343" s="85" t="s">
        <v>360</v>
      </c>
      <c r="F343" s="87" t="s">
        <v>618</v>
      </c>
      <c r="G343" s="230">
        <v>0</v>
      </c>
      <c r="H343" s="111">
        <v>0</v>
      </c>
      <c r="I343" s="88">
        <f t="shared" si="52"/>
        <v>0</v>
      </c>
      <c r="J343" s="75">
        <v>12.17</v>
      </c>
      <c r="K343" s="89">
        <f t="shared" si="53"/>
        <v>0</v>
      </c>
      <c r="L343" s="75">
        <v>12.167</v>
      </c>
      <c r="M343" s="89">
        <f t="shared" si="54"/>
        <v>0</v>
      </c>
    </row>
    <row r="344" spans="1:13" ht="12.75" customHeight="1">
      <c r="A344" s="108" t="s">
        <v>56</v>
      </c>
      <c r="B344" s="86" t="s">
        <v>359</v>
      </c>
      <c r="C344" s="85" t="s">
        <v>67</v>
      </c>
      <c r="D344" s="85" t="s">
        <v>368</v>
      </c>
      <c r="E344" s="85" t="s">
        <v>360</v>
      </c>
      <c r="F344" s="87" t="s">
        <v>805</v>
      </c>
      <c r="G344" s="230">
        <v>60</v>
      </c>
      <c r="H344" s="111">
        <v>60</v>
      </c>
      <c r="I344" s="88">
        <f t="shared" si="52"/>
        <v>1</v>
      </c>
      <c r="J344" s="75">
        <f>43.43+2.5</f>
        <v>45.93</v>
      </c>
      <c r="K344" s="89">
        <f t="shared" si="53"/>
        <v>1.3063357282821686</v>
      </c>
      <c r="L344" s="75">
        <v>19</v>
      </c>
      <c r="M344" s="89">
        <f t="shared" si="54"/>
        <v>3.1578947368421053</v>
      </c>
    </row>
    <row r="345" spans="1:13" ht="12.75" customHeight="1">
      <c r="A345" s="108" t="s">
        <v>56</v>
      </c>
      <c r="B345" s="86" t="s">
        <v>359</v>
      </c>
      <c r="C345" s="85" t="s">
        <v>67</v>
      </c>
      <c r="D345" s="85" t="s">
        <v>345</v>
      </c>
      <c r="E345" s="85" t="s">
        <v>360</v>
      </c>
      <c r="F345" s="87" t="s">
        <v>619</v>
      </c>
      <c r="G345" s="230">
        <v>0</v>
      </c>
      <c r="H345" s="111">
        <v>0</v>
      </c>
      <c r="I345" s="88">
        <f t="shared" si="52"/>
        <v>0</v>
      </c>
      <c r="J345" s="75">
        <v>24</v>
      </c>
      <c r="K345" s="89">
        <f t="shared" si="53"/>
        <v>0</v>
      </c>
      <c r="L345" s="75">
        <v>8.731</v>
      </c>
      <c r="M345" s="89">
        <f t="shared" si="54"/>
        <v>0</v>
      </c>
    </row>
    <row r="346" spans="1:13" ht="12.75" customHeight="1" thickBot="1">
      <c r="A346" s="108" t="s">
        <v>56</v>
      </c>
      <c r="B346" s="86" t="s">
        <v>359</v>
      </c>
      <c r="C346" s="85" t="s">
        <v>67</v>
      </c>
      <c r="D346" s="85" t="s">
        <v>349</v>
      </c>
      <c r="E346" s="85" t="s">
        <v>360</v>
      </c>
      <c r="F346" s="87" t="s">
        <v>785</v>
      </c>
      <c r="G346" s="230">
        <v>0</v>
      </c>
      <c r="H346" s="111">
        <v>0</v>
      </c>
      <c r="I346" s="88">
        <f>IF(H346=0,0,$G346/H346)</f>
        <v>0</v>
      </c>
      <c r="J346" s="75">
        <v>10</v>
      </c>
      <c r="K346" s="89">
        <f>IF(J346=0,0,$G346/J346)</f>
        <v>0</v>
      </c>
      <c r="L346" s="75">
        <v>0</v>
      </c>
      <c r="M346" s="89">
        <f>IF(L346=0,0,$G346/L346)</f>
        <v>0</v>
      </c>
    </row>
    <row r="347" spans="1:15" ht="12.75" customHeight="1">
      <c r="A347" s="109"/>
      <c r="B347" s="91" t="s">
        <v>11</v>
      </c>
      <c r="C347" s="90" t="s">
        <v>67</v>
      </c>
      <c r="D347" s="90"/>
      <c r="E347" s="90"/>
      <c r="F347" s="92"/>
      <c r="G347" s="231">
        <f>SUM(G326:G346)</f>
        <v>913</v>
      </c>
      <c r="H347" s="93">
        <f>SUM(H326:H346)</f>
        <v>768</v>
      </c>
      <c r="I347" s="94">
        <f t="shared" si="52"/>
        <v>1.1888020833333333</v>
      </c>
      <c r="J347" s="93">
        <f>SUM(J326:J346)</f>
        <v>872.0099999999999</v>
      </c>
      <c r="K347" s="94">
        <f t="shared" si="53"/>
        <v>1.0470063416703939</v>
      </c>
      <c r="L347" s="93">
        <f>SUM(L326:L346)</f>
        <v>705.557</v>
      </c>
      <c r="M347" s="94">
        <f t="shared" si="54"/>
        <v>1.2940130988708212</v>
      </c>
      <c r="O347" s="80"/>
    </row>
    <row r="348" spans="9:13" ht="12.75" customHeight="1">
      <c r="I348" s="88"/>
      <c r="K348" s="89"/>
      <c r="M348" s="89"/>
    </row>
    <row r="349" spans="1:13" ht="12.75" customHeight="1">
      <c r="A349" s="108" t="s">
        <v>56</v>
      </c>
      <c r="B349" s="86" t="s">
        <v>369</v>
      </c>
      <c r="C349" s="85" t="s">
        <v>370</v>
      </c>
      <c r="D349" s="85" t="s">
        <v>263</v>
      </c>
      <c r="E349" s="85" t="s">
        <v>371</v>
      </c>
      <c r="F349" s="87" t="s">
        <v>372</v>
      </c>
      <c r="G349" s="230">
        <v>500</v>
      </c>
      <c r="H349" s="111">
        <v>463</v>
      </c>
      <c r="I349" s="88">
        <f>IF(H349=0,0,$G349/H349)</f>
        <v>1.079913606911447</v>
      </c>
      <c r="J349" s="75">
        <v>463</v>
      </c>
      <c r="K349" s="89">
        <f>IF(J349=0,0,$G349/J349)</f>
        <v>1.079913606911447</v>
      </c>
      <c r="L349" s="75">
        <v>463</v>
      </c>
      <c r="M349" s="89">
        <f>IF(L349=0,0,$G349/L349)</f>
        <v>1.079913606911447</v>
      </c>
    </row>
    <row r="350" spans="1:13" ht="12.75" customHeight="1" thickBot="1">
      <c r="A350" s="108" t="s">
        <v>56</v>
      </c>
      <c r="B350" s="86" t="s">
        <v>369</v>
      </c>
      <c r="C350" s="85" t="s">
        <v>370</v>
      </c>
      <c r="D350" s="85" t="s">
        <v>263</v>
      </c>
      <c r="E350" s="85" t="s">
        <v>371</v>
      </c>
      <c r="F350" s="87" t="s">
        <v>848</v>
      </c>
      <c r="G350" s="230">
        <v>100</v>
      </c>
      <c r="H350" s="111">
        <v>0</v>
      </c>
      <c r="I350" s="88">
        <f>IF(H350=0,0,$G350/H350)</f>
        <v>0</v>
      </c>
      <c r="J350" s="75">
        <v>0</v>
      </c>
      <c r="K350" s="89">
        <f>IF(J350=0,0,$G350/J350)</f>
        <v>0</v>
      </c>
      <c r="L350" s="75">
        <v>0</v>
      </c>
      <c r="M350" s="89">
        <f>IF(L350=0,0,$G350/L350)</f>
        <v>0</v>
      </c>
    </row>
    <row r="351" spans="1:15" ht="12.75" customHeight="1">
      <c r="A351" s="109"/>
      <c r="B351" s="91" t="s">
        <v>11</v>
      </c>
      <c r="C351" s="90" t="s">
        <v>370</v>
      </c>
      <c r="D351" s="90"/>
      <c r="E351" s="90"/>
      <c r="F351" s="92"/>
      <c r="G351" s="231">
        <f>SUM(G349:G350)</f>
        <v>600</v>
      </c>
      <c r="H351" s="93">
        <f>SUM(H349)</f>
        <v>463</v>
      </c>
      <c r="I351" s="94">
        <f>IF(H351=0,0,$G351/H351)</f>
        <v>1.2958963282937366</v>
      </c>
      <c r="J351" s="93">
        <f>SUM(J349:J350)</f>
        <v>463</v>
      </c>
      <c r="K351" s="94">
        <f>IF(J351=0,0,$G351/J351)</f>
        <v>1.2958963282937366</v>
      </c>
      <c r="L351" s="93">
        <f>SUM(L349:L350)</f>
        <v>463</v>
      </c>
      <c r="M351" s="94">
        <f>IF(L351=0,0,$G351/L351)</f>
        <v>1.2958963282937366</v>
      </c>
      <c r="O351" s="80"/>
    </row>
    <row r="352" spans="9:13" ht="12.75" customHeight="1">
      <c r="I352" s="88"/>
      <c r="K352" s="89"/>
      <c r="M352" s="89"/>
    </row>
    <row r="353" spans="1:13" ht="12.75" customHeight="1">
      <c r="A353" s="108" t="s">
        <v>56</v>
      </c>
      <c r="B353" s="86" t="s">
        <v>373</v>
      </c>
      <c r="C353" s="85" t="s">
        <v>18</v>
      </c>
      <c r="D353" s="85" t="s">
        <v>266</v>
      </c>
      <c r="E353" s="85" t="s">
        <v>374</v>
      </c>
      <c r="F353" s="87" t="s">
        <v>795</v>
      </c>
      <c r="G353" s="230">
        <v>1775</v>
      </c>
      <c r="H353" s="111">
        <v>1698</v>
      </c>
      <c r="I353" s="88">
        <f aca="true" t="shared" si="55" ref="I353:I367">IF(H353=0,0,$G353/H353)</f>
        <v>1.0453474676089518</v>
      </c>
      <c r="J353" s="75">
        <v>1727.81</v>
      </c>
      <c r="K353" s="89">
        <f aca="true" t="shared" si="56" ref="K353:K367">IF(J353=0,0,$G353/J353)</f>
        <v>1.027312030836724</v>
      </c>
      <c r="L353" s="75">
        <f>1516.618+2</f>
        <v>1518.618</v>
      </c>
      <c r="M353" s="89">
        <f aca="true" t="shared" si="57" ref="M353:M367">IF(L353=0,0,$G353/L353)</f>
        <v>1.168825866676149</v>
      </c>
    </row>
    <row r="354" spans="1:13" ht="12.75" customHeight="1">
      <c r="A354" s="108" t="s">
        <v>56</v>
      </c>
      <c r="B354" s="86" t="s">
        <v>375</v>
      </c>
      <c r="C354" s="85" t="s">
        <v>18</v>
      </c>
      <c r="D354" s="85" t="s">
        <v>220</v>
      </c>
      <c r="E354" s="85" t="s">
        <v>374</v>
      </c>
      <c r="F354" s="87" t="s">
        <v>376</v>
      </c>
      <c r="G354" s="230">
        <v>444</v>
      </c>
      <c r="H354" s="111">
        <v>424</v>
      </c>
      <c r="I354" s="88">
        <f t="shared" si="55"/>
        <v>1.0471698113207548</v>
      </c>
      <c r="J354" s="75">
        <v>431.45</v>
      </c>
      <c r="K354" s="89">
        <f t="shared" si="56"/>
        <v>1.029087959207324</v>
      </c>
      <c r="L354" s="75">
        <v>379.202</v>
      </c>
      <c r="M354" s="89">
        <f t="shared" si="57"/>
        <v>1.1708799004224661</v>
      </c>
    </row>
    <row r="355" spans="1:13" ht="12.75" customHeight="1">
      <c r="A355" s="108" t="s">
        <v>56</v>
      </c>
      <c r="B355" s="86" t="s">
        <v>377</v>
      </c>
      <c r="C355" s="85" t="s">
        <v>18</v>
      </c>
      <c r="D355" s="85" t="s">
        <v>222</v>
      </c>
      <c r="E355" s="85" t="s">
        <v>374</v>
      </c>
      <c r="F355" s="87" t="s">
        <v>378</v>
      </c>
      <c r="G355" s="230">
        <v>160</v>
      </c>
      <c r="H355" s="111">
        <v>153</v>
      </c>
      <c r="I355" s="88">
        <f t="shared" si="55"/>
        <v>1.0457516339869282</v>
      </c>
      <c r="J355" s="75">
        <v>155.68</v>
      </c>
      <c r="K355" s="89">
        <f t="shared" si="56"/>
        <v>1.027749229188078</v>
      </c>
      <c r="L355" s="75">
        <v>141.29</v>
      </c>
      <c r="M355" s="89">
        <f t="shared" si="57"/>
        <v>1.1324226767641024</v>
      </c>
    </row>
    <row r="356" spans="1:13" ht="12.75" customHeight="1">
      <c r="A356" s="108" t="s">
        <v>56</v>
      </c>
      <c r="B356" s="86" t="s">
        <v>379</v>
      </c>
      <c r="C356" s="85" t="s">
        <v>18</v>
      </c>
      <c r="D356" s="85" t="s">
        <v>253</v>
      </c>
      <c r="E356" s="85" t="s">
        <v>374</v>
      </c>
      <c r="F356" s="87" t="s">
        <v>254</v>
      </c>
      <c r="G356" s="230">
        <v>2</v>
      </c>
      <c r="H356" s="111">
        <v>2</v>
      </c>
      <c r="I356" s="88">
        <f t="shared" si="55"/>
        <v>1</v>
      </c>
      <c r="J356" s="75">
        <v>2</v>
      </c>
      <c r="K356" s="89">
        <f t="shared" si="56"/>
        <v>1</v>
      </c>
      <c r="L356" s="75">
        <v>0</v>
      </c>
      <c r="M356" s="89">
        <f t="shared" si="57"/>
        <v>0</v>
      </c>
    </row>
    <row r="357" spans="1:13" ht="12.75" customHeight="1">
      <c r="A357" s="108" t="s">
        <v>56</v>
      </c>
      <c r="B357" s="86" t="s">
        <v>380</v>
      </c>
      <c r="C357" s="85" t="s">
        <v>18</v>
      </c>
      <c r="D357" s="85" t="s">
        <v>227</v>
      </c>
      <c r="E357" s="85" t="s">
        <v>374</v>
      </c>
      <c r="F357" s="87" t="s">
        <v>381</v>
      </c>
      <c r="G357" s="230">
        <v>5</v>
      </c>
      <c r="H357" s="111">
        <v>3</v>
      </c>
      <c r="I357" s="88">
        <f t="shared" si="55"/>
        <v>1.6666666666666667</v>
      </c>
      <c r="J357" s="75">
        <v>3</v>
      </c>
      <c r="K357" s="89">
        <f t="shared" si="56"/>
        <v>1.6666666666666667</v>
      </c>
      <c r="L357" s="75">
        <v>0</v>
      </c>
      <c r="M357" s="89">
        <f t="shared" si="57"/>
        <v>0</v>
      </c>
    </row>
    <row r="358" spans="1:13" ht="12.75" customHeight="1">
      <c r="A358" s="108" t="s">
        <v>56</v>
      </c>
      <c r="B358" s="86" t="s">
        <v>382</v>
      </c>
      <c r="C358" s="85" t="s">
        <v>18</v>
      </c>
      <c r="D358" s="85" t="s">
        <v>176</v>
      </c>
      <c r="E358" s="85" t="s">
        <v>374</v>
      </c>
      <c r="F358" s="87" t="s">
        <v>178</v>
      </c>
      <c r="G358" s="230">
        <v>5</v>
      </c>
      <c r="H358" s="111">
        <v>5</v>
      </c>
      <c r="I358" s="88">
        <f t="shared" si="55"/>
        <v>1</v>
      </c>
      <c r="J358" s="75">
        <v>5</v>
      </c>
      <c r="K358" s="89">
        <f t="shared" si="56"/>
        <v>1</v>
      </c>
      <c r="L358" s="75">
        <v>2.825</v>
      </c>
      <c r="M358" s="89">
        <f t="shared" si="57"/>
        <v>1.7699115044247786</v>
      </c>
    </row>
    <row r="359" spans="1:13" ht="12.75" customHeight="1">
      <c r="A359" s="108" t="s">
        <v>56</v>
      </c>
      <c r="B359" s="86" t="s">
        <v>383</v>
      </c>
      <c r="C359" s="85" t="s">
        <v>18</v>
      </c>
      <c r="D359" s="85" t="s">
        <v>233</v>
      </c>
      <c r="E359" s="85" t="s">
        <v>374</v>
      </c>
      <c r="F359" s="87" t="s">
        <v>234</v>
      </c>
      <c r="G359" s="230">
        <v>25</v>
      </c>
      <c r="H359" s="111">
        <v>25</v>
      </c>
      <c r="I359" s="88">
        <f t="shared" si="55"/>
        <v>1</v>
      </c>
      <c r="J359" s="75">
        <v>25</v>
      </c>
      <c r="K359" s="89">
        <f t="shared" si="56"/>
        <v>1</v>
      </c>
      <c r="L359" s="75">
        <v>11.257</v>
      </c>
      <c r="M359" s="89">
        <f t="shared" si="57"/>
        <v>2.2208403659944924</v>
      </c>
    </row>
    <row r="360" spans="1:13" ht="12.75" customHeight="1">
      <c r="A360" s="108" t="s">
        <v>56</v>
      </c>
      <c r="B360" s="86" t="s">
        <v>384</v>
      </c>
      <c r="C360" s="85" t="s">
        <v>18</v>
      </c>
      <c r="D360" s="85" t="s">
        <v>187</v>
      </c>
      <c r="E360" s="85" t="s">
        <v>374</v>
      </c>
      <c r="F360" s="87" t="s">
        <v>302</v>
      </c>
      <c r="G360" s="230">
        <v>7</v>
      </c>
      <c r="H360" s="111">
        <v>7</v>
      </c>
      <c r="I360" s="88">
        <f t="shared" si="55"/>
        <v>1</v>
      </c>
      <c r="J360" s="75">
        <v>7</v>
      </c>
      <c r="K360" s="89">
        <f t="shared" si="56"/>
        <v>1</v>
      </c>
      <c r="L360" s="75">
        <f>6.074+0.251</f>
        <v>6.325</v>
      </c>
      <c r="M360" s="89">
        <f t="shared" si="57"/>
        <v>1.1067193675889329</v>
      </c>
    </row>
    <row r="361" spans="1:13" ht="12.75" customHeight="1">
      <c r="A361" s="108" t="s">
        <v>56</v>
      </c>
      <c r="B361" s="86" t="s">
        <v>385</v>
      </c>
      <c r="C361" s="85" t="s">
        <v>18</v>
      </c>
      <c r="D361" s="85" t="s">
        <v>236</v>
      </c>
      <c r="E361" s="85" t="s">
        <v>374</v>
      </c>
      <c r="F361" s="87" t="s">
        <v>291</v>
      </c>
      <c r="G361" s="230">
        <v>51</v>
      </c>
      <c r="H361" s="111">
        <v>84</v>
      </c>
      <c r="I361" s="88">
        <f t="shared" si="55"/>
        <v>0.6071428571428571</v>
      </c>
      <c r="J361" s="75">
        <v>40.596</v>
      </c>
      <c r="K361" s="89">
        <f t="shared" si="56"/>
        <v>1.256281407035176</v>
      </c>
      <c r="L361" s="75">
        <v>23.57</v>
      </c>
      <c r="M361" s="89">
        <f t="shared" si="57"/>
        <v>2.1637675010606703</v>
      </c>
    </row>
    <row r="362" spans="1:13" ht="12.75" customHeight="1">
      <c r="A362" s="108" t="s">
        <v>56</v>
      </c>
      <c r="B362" s="86" t="s">
        <v>386</v>
      </c>
      <c r="C362" s="85" t="s">
        <v>18</v>
      </c>
      <c r="D362" s="85" t="s">
        <v>236</v>
      </c>
      <c r="E362" s="85" t="s">
        <v>387</v>
      </c>
      <c r="F362" s="87" t="s">
        <v>386</v>
      </c>
      <c r="G362" s="230">
        <v>10</v>
      </c>
      <c r="H362" s="111">
        <v>0</v>
      </c>
      <c r="I362" s="88">
        <f t="shared" si="55"/>
        <v>0</v>
      </c>
      <c r="J362" s="75">
        <v>0</v>
      </c>
      <c r="K362" s="89">
        <f t="shared" si="56"/>
        <v>0</v>
      </c>
      <c r="L362" s="75">
        <v>0</v>
      </c>
      <c r="M362" s="89">
        <f t="shared" si="57"/>
        <v>0</v>
      </c>
    </row>
    <row r="363" spans="1:13" ht="12.75" customHeight="1">
      <c r="A363" s="108" t="s">
        <v>56</v>
      </c>
      <c r="B363" s="86" t="s">
        <v>388</v>
      </c>
      <c r="C363" s="85" t="s">
        <v>18</v>
      </c>
      <c r="D363" s="85" t="s">
        <v>191</v>
      </c>
      <c r="E363" s="85" t="s">
        <v>374</v>
      </c>
      <c r="F363" s="87" t="s">
        <v>238</v>
      </c>
      <c r="G363" s="230">
        <v>2</v>
      </c>
      <c r="H363" s="111">
        <v>0</v>
      </c>
      <c r="I363" s="88">
        <f t="shared" si="55"/>
        <v>0</v>
      </c>
      <c r="J363" s="75">
        <v>0</v>
      </c>
      <c r="K363" s="89">
        <f t="shared" si="56"/>
        <v>0</v>
      </c>
      <c r="L363" s="75">
        <v>0</v>
      </c>
      <c r="M363" s="89">
        <f t="shared" si="57"/>
        <v>0</v>
      </c>
    </row>
    <row r="364" spans="1:13" ht="12.75" customHeight="1">
      <c r="A364" s="108" t="s">
        <v>56</v>
      </c>
      <c r="B364" s="86" t="s">
        <v>389</v>
      </c>
      <c r="C364" s="85" t="s">
        <v>18</v>
      </c>
      <c r="D364" s="85" t="s">
        <v>193</v>
      </c>
      <c r="E364" s="85" t="s">
        <v>374</v>
      </c>
      <c r="F364" s="87" t="s">
        <v>239</v>
      </c>
      <c r="G364" s="230">
        <v>25</v>
      </c>
      <c r="H364" s="111">
        <v>35</v>
      </c>
      <c r="I364" s="88">
        <f t="shared" si="55"/>
        <v>0.7142857142857143</v>
      </c>
      <c r="J364" s="75">
        <v>35</v>
      </c>
      <c r="K364" s="89">
        <f t="shared" si="56"/>
        <v>0.7142857142857143</v>
      </c>
      <c r="L364" s="75">
        <v>10.955</v>
      </c>
      <c r="M364" s="89">
        <f t="shared" si="57"/>
        <v>2.2820629849383844</v>
      </c>
    </row>
    <row r="365" spans="1:13" ht="12.75" customHeight="1">
      <c r="A365" s="108" t="s">
        <v>56</v>
      </c>
      <c r="B365" s="86" t="s">
        <v>390</v>
      </c>
      <c r="C365" s="85" t="s">
        <v>18</v>
      </c>
      <c r="D365" s="85" t="s">
        <v>256</v>
      </c>
      <c r="E365" s="85" t="s">
        <v>374</v>
      </c>
      <c r="F365" s="87" t="s">
        <v>257</v>
      </c>
      <c r="G365" s="230">
        <v>8</v>
      </c>
      <c r="H365" s="111">
        <v>6</v>
      </c>
      <c r="I365" s="88">
        <f t="shared" si="55"/>
        <v>1.3333333333333333</v>
      </c>
      <c r="J365" s="75">
        <v>6</v>
      </c>
      <c r="K365" s="89">
        <f t="shared" si="56"/>
        <v>1.3333333333333333</v>
      </c>
      <c r="L365" s="75">
        <v>4.039</v>
      </c>
      <c r="M365" s="89">
        <f t="shared" si="57"/>
        <v>1.9806882891804904</v>
      </c>
    </row>
    <row r="366" spans="1:13" ht="12.75" customHeight="1" thickBot="1">
      <c r="A366" s="108" t="s">
        <v>56</v>
      </c>
      <c r="B366" s="86" t="s">
        <v>391</v>
      </c>
      <c r="C366" s="85" t="s">
        <v>18</v>
      </c>
      <c r="D366" s="85" t="s">
        <v>195</v>
      </c>
      <c r="E366" s="85" t="s">
        <v>374</v>
      </c>
      <c r="F366" s="87" t="s">
        <v>258</v>
      </c>
      <c r="G366" s="230">
        <v>2</v>
      </c>
      <c r="H366" s="111">
        <v>1</v>
      </c>
      <c r="I366" s="88">
        <f t="shared" si="55"/>
        <v>2</v>
      </c>
      <c r="J366" s="75">
        <v>2.5</v>
      </c>
      <c r="K366" s="89">
        <f t="shared" si="56"/>
        <v>0.8</v>
      </c>
      <c r="L366" s="75">
        <f>1.8+1.689</f>
        <v>3.489</v>
      </c>
      <c r="M366" s="89">
        <f t="shared" si="57"/>
        <v>0.5732301519059902</v>
      </c>
    </row>
    <row r="367" spans="1:15" ht="12.75" customHeight="1">
      <c r="A367" s="109"/>
      <c r="B367" s="91" t="s">
        <v>11</v>
      </c>
      <c r="C367" s="90" t="s">
        <v>18</v>
      </c>
      <c r="D367" s="90"/>
      <c r="E367" s="90"/>
      <c r="F367" s="92"/>
      <c r="G367" s="231">
        <f>SUM(G353:G366)</f>
        <v>2521</v>
      </c>
      <c r="H367" s="93">
        <f>SUM(H353:H366)</f>
        <v>2443</v>
      </c>
      <c r="I367" s="94">
        <f t="shared" si="55"/>
        <v>1.03192795742939</v>
      </c>
      <c r="J367" s="93">
        <f>SUM(J353:J366)</f>
        <v>2441.0359999999996</v>
      </c>
      <c r="K367" s="94">
        <f t="shared" si="56"/>
        <v>1.0327582223285525</v>
      </c>
      <c r="L367" s="93">
        <f>SUM(L353:L366)</f>
        <v>2101.57</v>
      </c>
      <c r="M367" s="94">
        <f t="shared" si="57"/>
        <v>1.1995793620959567</v>
      </c>
      <c r="O367" s="80"/>
    </row>
    <row r="368" spans="9:13" ht="12.75" customHeight="1">
      <c r="I368" s="88"/>
      <c r="K368" s="89"/>
      <c r="M368" s="89"/>
    </row>
    <row r="369" spans="1:15" ht="12.75" customHeight="1">
      <c r="A369" s="107"/>
      <c r="B369" s="95" t="s">
        <v>68</v>
      </c>
      <c r="C369" s="81"/>
      <c r="D369" s="81"/>
      <c r="E369" s="81"/>
      <c r="F369" s="96"/>
      <c r="G369" s="232">
        <f>SUM(G299,G302,G307,G324,G347,G351,G367)</f>
        <v>5422</v>
      </c>
      <c r="H369" s="103">
        <f>SUM(H299,H302,H307,H324,H347,H351,H367)</f>
        <v>4976</v>
      </c>
      <c r="I369" s="98">
        <f>IF(H369=0,0,$G369/H369)</f>
        <v>1.0896302250803858</v>
      </c>
      <c r="J369" s="97">
        <f>SUM(J299,J302,J307,J324,J347,J351,J367)</f>
        <v>5253.065999999999</v>
      </c>
      <c r="K369" s="99">
        <f>IF(J369=0,0,$G369/J369)</f>
        <v>1.032159123833586</v>
      </c>
      <c r="L369" s="97">
        <f>SUM(L299,L302,L307,L324,L347,L351,L367)</f>
        <v>4196.881</v>
      </c>
      <c r="M369" s="99">
        <f>IF(L369=0,0,$G369/L369)</f>
        <v>1.2919117792474935</v>
      </c>
      <c r="O369" s="80"/>
    </row>
    <row r="370" spans="9:13" ht="12.75" customHeight="1">
      <c r="I370" s="88"/>
      <c r="K370" s="89"/>
      <c r="M370" s="89"/>
    </row>
    <row r="371" spans="9:13" ht="12.75" customHeight="1">
      <c r="I371" s="88"/>
      <c r="K371" s="89"/>
      <c r="M371" s="89"/>
    </row>
    <row r="372" spans="1:13" ht="12.75" customHeight="1">
      <c r="A372" s="108" t="s">
        <v>69</v>
      </c>
      <c r="B372" s="86" t="s">
        <v>392</v>
      </c>
      <c r="C372" s="85" t="s">
        <v>8</v>
      </c>
      <c r="D372" s="85" t="s">
        <v>393</v>
      </c>
      <c r="E372" s="85" t="s">
        <v>10</v>
      </c>
      <c r="F372" s="87" t="s">
        <v>394</v>
      </c>
      <c r="G372" s="230">
        <v>5388</v>
      </c>
      <c r="H372" s="111">
        <v>0</v>
      </c>
      <c r="I372" s="88">
        <f>IF(H372=0,0,$G372/H372)</f>
        <v>0</v>
      </c>
      <c r="J372" s="75">
        <v>0</v>
      </c>
      <c r="K372" s="88">
        <f>IF(J372=0,0,$G372/J372)</f>
        <v>0</v>
      </c>
      <c r="L372" s="75">
        <v>0</v>
      </c>
      <c r="M372" s="88">
        <f>IF(L372=0,0,$G372/L372)</f>
        <v>0</v>
      </c>
    </row>
    <row r="373" spans="1:13" ht="12.75" customHeight="1" thickBot="1">
      <c r="A373" s="108" t="s">
        <v>69</v>
      </c>
      <c r="B373" s="86" t="s">
        <v>392</v>
      </c>
      <c r="C373" s="85" t="s">
        <v>8</v>
      </c>
      <c r="D373" s="85" t="s">
        <v>393</v>
      </c>
      <c r="E373" s="85" t="s">
        <v>10</v>
      </c>
      <c r="F373" s="87" t="s">
        <v>392</v>
      </c>
      <c r="G373" s="230">
        <v>5988</v>
      </c>
      <c r="H373" s="111">
        <v>15075.212</v>
      </c>
      <c r="I373" s="88">
        <f>IF(H373=0,0,$G373/H373)</f>
        <v>0.39720834440006547</v>
      </c>
      <c r="J373" s="75">
        <v>15075.212</v>
      </c>
      <c r="K373" s="89">
        <f>IF(J373=0,0,$G373/J373)</f>
        <v>0.39720834440006547</v>
      </c>
      <c r="L373" s="75">
        <v>14077.211</v>
      </c>
      <c r="M373" s="89">
        <f>IF(L373=0,0,$G373/L373)</f>
        <v>0.425368348886722</v>
      </c>
    </row>
    <row r="374" spans="1:15" ht="12.75" customHeight="1">
      <c r="A374" s="109"/>
      <c r="B374" s="91" t="s">
        <v>11</v>
      </c>
      <c r="C374" s="90" t="s">
        <v>8</v>
      </c>
      <c r="D374" s="90"/>
      <c r="E374" s="90"/>
      <c r="F374" s="92"/>
      <c r="G374" s="231">
        <f>SUM(G372:G373)</f>
        <v>11376</v>
      </c>
      <c r="H374" s="93">
        <f>SUM(H372:H373)</f>
        <v>15075.212</v>
      </c>
      <c r="I374" s="94">
        <f>IF(H374=0,0,$G374/H374)</f>
        <v>0.7546162534895032</v>
      </c>
      <c r="J374" s="93">
        <f>SUM(J372:J373)</f>
        <v>15075.212</v>
      </c>
      <c r="K374" s="94">
        <f>IF(J374=0,0,$G374/J374)</f>
        <v>0.7546162534895032</v>
      </c>
      <c r="L374" s="93">
        <f>SUM(L372:L373)</f>
        <v>14077.211</v>
      </c>
      <c r="M374" s="94">
        <f>IF(L374=0,0,$G374/L374)</f>
        <v>0.8081146187266782</v>
      </c>
      <c r="O374" s="80"/>
    </row>
    <row r="375" spans="9:13" ht="12.75" customHeight="1">
      <c r="I375" s="88"/>
      <c r="K375" s="89"/>
      <c r="M375" s="89"/>
    </row>
    <row r="376" spans="1:13" ht="12.75" customHeight="1">
      <c r="A376" s="108" t="s">
        <v>69</v>
      </c>
      <c r="B376" s="86" t="s">
        <v>395</v>
      </c>
      <c r="C376" s="85" t="s">
        <v>396</v>
      </c>
      <c r="D376" s="85" t="s">
        <v>397</v>
      </c>
      <c r="E376" s="85" t="s">
        <v>398</v>
      </c>
      <c r="F376" s="87" t="s">
        <v>395</v>
      </c>
      <c r="G376" s="230">
        <v>662.8</v>
      </c>
      <c r="H376" s="111">
        <v>561.161</v>
      </c>
      <c r="I376" s="88">
        <f aca="true" t="shared" si="58" ref="I376:I386">IF(H376=0,0,$G376/H376)</f>
        <v>1.1811227080998146</v>
      </c>
      <c r="J376" s="75">
        <v>564.97</v>
      </c>
      <c r="K376" s="89">
        <f aca="true" t="shared" si="59" ref="K376:K386">IF(J376=0,0,$G376/J376)</f>
        <v>1.173159636794874</v>
      </c>
      <c r="L376" s="75">
        <v>489</v>
      </c>
      <c r="M376" s="89">
        <f aca="true" t="shared" si="60" ref="M376:M386">IF(L376=0,0,$G376/L376)</f>
        <v>1.3554192229038853</v>
      </c>
    </row>
    <row r="377" spans="1:13" ht="12.75" customHeight="1">
      <c r="A377" s="108" t="s">
        <v>69</v>
      </c>
      <c r="B377" s="86" t="s">
        <v>395</v>
      </c>
      <c r="C377" s="85" t="s">
        <v>396</v>
      </c>
      <c r="D377" s="85" t="s">
        <v>397</v>
      </c>
      <c r="E377" s="85" t="s">
        <v>398</v>
      </c>
      <c r="F377" s="87" t="s">
        <v>399</v>
      </c>
      <c r="G377" s="230">
        <v>164.941</v>
      </c>
      <c r="H377" s="111">
        <v>0</v>
      </c>
      <c r="I377" s="88">
        <f t="shared" si="58"/>
        <v>0</v>
      </c>
      <c r="J377" s="75">
        <v>0</v>
      </c>
      <c r="K377" s="89">
        <f t="shared" si="59"/>
        <v>0</v>
      </c>
      <c r="L377" s="75">
        <v>0</v>
      </c>
      <c r="M377" s="89">
        <f t="shared" si="60"/>
        <v>0</v>
      </c>
    </row>
    <row r="378" spans="1:13" ht="12.75" customHeight="1">
      <c r="A378" s="108" t="s">
        <v>69</v>
      </c>
      <c r="B378" s="86" t="s">
        <v>395</v>
      </c>
      <c r="C378" s="85" t="s">
        <v>396</v>
      </c>
      <c r="D378" s="85" t="s">
        <v>397</v>
      </c>
      <c r="E378" s="85" t="s">
        <v>398</v>
      </c>
      <c r="F378" s="87" t="s">
        <v>649</v>
      </c>
      <c r="G378" s="230">
        <v>700</v>
      </c>
      <c r="H378" s="111">
        <v>0</v>
      </c>
      <c r="I378" s="88">
        <f t="shared" si="58"/>
        <v>0</v>
      </c>
      <c r="J378" s="75">
        <v>0</v>
      </c>
      <c r="K378" s="89">
        <f t="shared" si="59"/>
        <v>0</v>
      </c>
      <c r="L378" s="75">
        <v>0</v>
      </c>
      <c r="M378" s="89">
        <f t="shared" si="60"/>
        <v>0</v>
      </c>
    </row>
    <row r="379" spans="1:13" ht="12.75" customHeight="1">
      <c r="A379" s="108" t="s">
        <v>69</v>
      </c>
      <c r="B379" s="86" t="s">
        <v>395</v>
      </c>
      <c r="C379" s="85" t="s">
        <v>396</v>
      </c>
      <c r="D379" s="85" t="s">
        <v>203</v>
      </c>
      <c r="E379" s="85" t="s">
        <v>605</v>
      </c>
      <c r="F379" s="87" t="s">
        <v>606</v>
      </c>
      <c r="G379" s="230">
        <v>0</v>
      </c>
      <c r="H379" s="111">
        <f>0+7554.33+147.96</f>
        <v>7702.29</v>
      </c>
      <c r="I379" s="88">
        <f t="shared" si="58"/>
        <v>0</v>
      </c>
      <c r="J379" s="75">
        <f>100.83+7554.33+219.46+6</f>
        <v>7880.62</v>
      </c>
      <c r="K379" s="89">
        <f t="shared" si="59"/>
        <v>0</v>
      </c>
      <c r="L379" s="75">
        <f>100.832+7299.325+172.3+6</f>
        <v>7578.457</v>
      </c>
      <c r="M379" s="89">
        <f t="shared" si="60"/>
        <v>0</v>
      </c>
    </row>
    <row r="380" spans="1:13" ht="12.75" customHeight="1">
      <c r="A380" s="108" t="s">
        <v>69</v>
      </c>
      <c r="B380" s="86" t="s">
        <v>849</v>
      </c>
      <c r="C380" s="85" t="s">
        <v>396</v>
      </c>
      <c r="D380" s="85" t="s">
        <v>505</v>
      </c>
      <c r="E380" s="85" t="s">
        <v>605</v>
      </c>
      <c r="F380" s="87" t="s">
        <v>850</v>
      </c>
      <c r="G380" s="230">
        <v>2</v>
      </c>
      <c r="H380" s="111">
        <v>0</v>
      </c>
      <c r="I380" s="88">
        <f>IF(H380=0,0,$G380/H380)</f>
        <v>0</v>
      </c>
      <c r="J380" s="75">
        <v>0</v>
      </c>
      <c r="K380" s="89">
        <f>IF(J380=0,0,$G380/J380)</f>
        <v>0</v>
      </c>
      <c r="L380" s="75">
        <v>0</v>
      </c>
      <c r="M380" s="89">
        <f>IF(L380=0,0,$G380/L380)</f>
        <v>0</v>
      </c>
    </row>
    <row r="381" spans="1:13" ht="12.75" customHeight="1">
      <c r="A381" s="108" t="s">
        <v>69</v>
      </c>
      <c r="B381" s="86" t="s">
        <v>400</v>
      </c>
      <c r="C381" s="85" t="s">
        <v>396</v>
      </c>
      <c r="D381" s="85" t="s">
        <v>397</v>
      </c>
      <c r="E381" s="85" t="s">
        <v>401</v>
      </c>
      <c r="F381" s="87" t="s">
        <v>400</v>
      </c>
      <c r="G381" s="230">
        <v>965</v>
      </c>
      <c r="H381" s="111">
        <v>965</v>
      </c>
      <c r="I381" s="88">
        <f t="shared" si="58"/>
        <v>1</v>
      </c>
      <c r="J381" s="75">
        <v>965</v>
      </c>
      <c r="K381" s="89">
        <f t="shared" si="59"/>
        <v>1</v>
      </c>
      <c r="L381" s="75">
        <v>813</v>
      </c>
      <c r="M381" s="89">
        <f t="shared" si="60"/>
        <v>1.186961869618696</v>
      </c>
    </row>
    <row r="382" spans="1:13" ht="12.75" customHeight="1">
      <c r="A382" s="108" t="s">
        <v>69</v>
      </c>
      <c r="B382" s="86" t="s">
        <v>400</v>
      </c>
      <c r="C382" s="85" t="s">
        <v>396</v>
      </c>
      <c r="D382" s="85" t="s">
        <v>397</v>
      </c>
      <c r="E382" s="85" t="s">
        <v>401</v>
      </c>
      <c r="F382" s="87" t="s">
        <v>402</v>
      </c>
      <c r="G382" s="230">
        <v>545.307</v>
      </c>
      <c r="H382" s="111">
        <v>620</v>
      </c>
      <c r="I382" s="88">
        <f t="shared" si="58"/>
        <v>0.8795274193548387</v>
      </c>
      <c r="J382" s="75">
        <v>620</v>
      </c>
      <c r="K382" s="89">
        <f t="shared" si="59"/>
        <v>0.8795274193548387</v>
      </c>
      <c r="L382" s="75">
        <v>620</v>
      </c>
      <c r="M382" s="89">
        <f t="shared" si="60"/>
        <v>0.8795274193548387</v>
      </c>
    </row>
    <row r="383" spans="1:13" ht="12.75" customHeight="1">
      <c r="A383" s="108" t="s">
        <v>69</v>
      </c>
      <c r="B383" s="86" t="s">
        <v>403</v>
      </c>
      <c r="C383" s="85" t="s">
        <v>396</v>
      </c>
      <c r="D383" s="85" t="s">
        <v>397</v>
      </c>
      <c r="E383" s="85" t="s">
        <v>404</v>
      </c>
      <c r="F383" s="87" t="s">
        <v>403</v>
      </c>
      <c r="G383" s="230">
        <v>607</v>
      </c>
      <c r="H383" s="111">
        <v>661</v>
      </c>
      <c r="I383" s="88">
        <f t="shared" si="58"/>
        <v>0.9183055975794251</v>
      </c>
      <c r="J383" s="75">
        <v>661</v>
      </c>
      <c r="K383" s="89">
        <f t="shared" si="59"/>
        <v>0.9183055975794251</v>
      </c>
      <c r="L383" s="75">
        <v>549</v>
      </c>
      <c r="M383" s="89">
        <f t="shared" si="60"/>
        <v>1.1056466302367942</v>
      </c>
    </row>
    <row r="384" spans="1:13" ht="12.75" customHeight="1">
      <c r="A384" s="108" t="s">
        <v>69</v>
      </c>
      <c r="B384" s="86" t="s">
        <v>403</v>
      </c>
      <c r="C384" s="85" t="s">
        <v>396</v>
      </c>
      <c r="D384" s="85" t="s">
        <v>397</v>
      </c>
      <c r="E384" s="85" t="s">
        <v>404</v>
      </c>
      <c r="F384" s="87" t="s">
        <v>405</v>
      </c>
      <c r="G384" s="230">
        <v>38.991</v>
      </c>
      <c r="H384" s="111">
        <v>24.891</v>
      </c>
      <c r="I384" s="88">
        <f t="shared" si="58"/>
        <v>1.5664698083644693</v>
      </c>
      <c r="J384" s="75">
        <v>24.891</v>
      </c>
      <c r="K384" s="89">
        <f t="shared" si="59"/>
        <v>1.5664698083644693</v>
      </c>
      <c r="L384" s="75">
        <v>24.891</v>
      </c>
      <c r="M384" s="89">
        <f t="shared" si="60"/>
        <v>1.5664698083644693</v>
      </c>
    </row>
    <row r="385" spans="1:13" ht="12.75" customHeight="1" thickBot="1">
      <c r="A385" s="108" t="s">
        <v>69</v>
      </c>
      <c r="B385" s="86" t="s">
        <v>403</v>
      </c>
      <c r="C385" s="85" t="s">
        <v>396</v>
      </c>
      <c r="D385" s="85" t="s">
        <v>200</v>
      </c>
      <c r="E385" s="85" t="s">
        <v>404</v>
      </c>
      <c r="F385" s="87" t="s">
        <v>406</v>
      </c>
      <c r="G385" s="230">
        <v>300</v>
      </c>
      <c r="H385" s="111">
        <v>300</v>
      </c>
      <c r="I385" s="88">
        <f t="shared" si="58"/>
        <v>1</v>
      </c>
      <c r="J385" s="75">
        <v>300</v>
      </c>
      <c r="K385" s="89">
        <f t="shared" si="59"/>
        <v>1</v>
      </c>
      <c r="L385" s="75">
        <v>0</v>
      </c>
      <c r="M385" s="89">
        <f t="shared" si="60"/>
        <v>0</v>
      </c>
    </row>
    <row r="386" spans="1:15" ht="12.75" customHeight="1">
      <c r="A386" s="109"/>
      <c r="B386" s="91" t="s">
        <v>11</v>
      </c>
      <c r="C386" s="90" t="s">
        <v>396</v>
      </c>
      <c r="D386" s="90"/>
      <c r="E386" s="90"/>
      <c r="F386" s="92"/>
      <c r="G386" s="231">
        <f aca="true" t="shared" si="61" ref="G386:L386">SUM(G376:G385)</f>
        <v>3986.0389999999998</v>
      </c>
      <c r="H386" s="93">
        <f t="shared" si="61"/>
        <v>10834.341999999999</v>
      </c>
      <c r="I386" s="94">
        <f t="shared" si="58"/>
        <v>0.36790780649161714</v>
      </c>
      <c r="J386" s="93">
        <f t="shared" si="61"/>
        <v>11016.481</v>
      </c>
      <c r="K386" s="94">
        <f t="shared" si="59"/>
        <v>0.36182506918497837</v>
      </c>
      <c r="L386" s="93">
        <f t="shared" si="61"/>
        <v>10074.348</v>
      </c>
      <c r="M386" s="94">
        <f t="shared" si="60"/>
        <v>0.39566223044905735</v>
      </c>
      <c r="O386" s="80"/>
    </row>
    <row r="387" spans="9:13" ht="12.75" customHeight="1">
      <c r="I387" s="88"/>
      <c r="K387" s="89"/>
      <c r="M387" s="89"/>
    </row>
    <row r="388" spans="1:13" ht="12.75" customHeight="1">
      <c r="A388" s="108" t="s">
        <v>69</v>
      </c>
      <c r="B388" s="86" t="s">
        <v>407</v>
      </c>
      <c r="C388" s="85" t="s">
        <v>408</v>
      </c>
      <c r="D388" s="85" t="s">
        <v>397</v>
      </c>
      <c r="E388" s="85" t="s">
        <v>409</v>
      </c>
      <c r="F388" s="87" t="s">
        <v>407</v>
      </c>
      <c r="G388" s="230">
        <v>5230</v>
      </c>
      <c r="H388" s="111">
        <v>5230</v>
      </c>
      <c r="I388" s="88">
        <f aca="true" t="shared" si="62" ref="I388:I393">IF(H388=0,0,$G388/H388)</f>
        <v>1</v>
      </c>
      <c r="J388" s="75">
        <v>5230</v>
      </c>
      <c r="K388" s="89">
        <f aca="true" t="shared" si="63" ref="K388:K393">IF(J388=0,0,$G388/J388)</f>
        <v>1</v>
      </c>
      <c r="L388" s="75">
        <v>4386</v>
      </c>
      <c r="M388" s="89">
        <f aca="true" t="shared" si="64" ref="M388:M393">IF(L388=0,0,$G388/L388)</f>
        <v>1.1924304605563156</v>
      </c>
    </row>
    <row r="389" spans="1:13" ht="12.75" customHeight="1">
      <c r="A389" s="108" t="s">
        <v>69</v>
      </c>
      <c r="B389" s="86" t="s">
        <v>407</v>
      </c>
      <c r="C389" s="85" t="s">
        <v>408</v>
      </c>
      <c r="D389" s="85" t="s">
        <v>397</v>
      </c>
      <c r="E389" s="85" t="s">
        <v>409</v>
      </c>
      <c r="F389" s="87" t="s">
        <v>410</v>
      </c>
      <c r="G389" s="230">
        <v>1814.085</v>
      </c>
      <c r="H389" s="111">
        <v>1898.59</v>
      </c>
      <c r="I389" s="88">
        <f t="shared" si="62"/>
        <v>0.9554906535902961</v>
      </c>
      <c r="J389" s="75">
        <v>1898.59</v>
      </c>
      <c r="K389" s="89">
        <f t="shared" si="63"/>
        <v>0.9554906535902961</v>
      </c>
      <c r="L389" s="75">
        <v>1898.59</v>
      </c>
      <c r="M389" s="89">
        <f t="shared" si="64"/>
        <v>0.9554906535902961</v>
      </c>
    </row>
    <row r="390" spans="1:13" ht="12.75" customHeight="1">
      <c r="A390" s="108" t="s">
        <v>69</v>
      </c>
      <c r="B390" s="86" t="s">
        <v>407</v>
      </c>
      <c r="C390" s="85" t="s">
        <v>408</v>
      </c>
      <c r="D390" s="85" t="s">
        <v>189</v>
      </c>
      <c r="E390" s="85" t="s">
        <v>409</v>
      </c>
      <c r="F390" s="87" t="s">
        <v>607</v>
      </c>
      <c r="G390" s="230">
        <v>0</v>
      </c>
      <c r="H390" s="111">
        <v>0</v>
      </c>
      <c r="I390" s="88">
        <f t="shared" si="62"/>
        <v>0</v>
      </c>
      <c r="J390" s="75">
        <v>49.2</v>
      </c>
      <c r="K390" s="89">
        <f t="shared" si="63"/>
        <v>0</v>
      </c>
      <c r="L390" s="75">
        <v>49.2</v>
      </c>
      <c r="M390" s="89">
        <f t="shared" si="64"/>
        <v>0</v>
      </c>
    </row>
    <row r="391" spans="1:13" ht="12.75" customHeight="1">
      <c r="A391" s="108" t="s">
        <v>69</v>
      </c>
      <c r="B391" s="86" t="s">
        <v>407</v>
      </c>
      <c r="C391" s="85" t="s">
        <v>408</v>
      </c>
      <c r="D391" s="85" t="s">
        <v>191</v>
      </c>
      <c r="E391" s="85" t="s">
        <v>409</v>
      </c>
      <c r="F391" s="87" t="s">
        <v>608</v>
      </c>
      <c r="G391" s="230">
        <v>0</v>
      </c>
      <c r="H391" s="111">
        <v>0</v>
      </c>
      <c r="I391" s="88">
        <f t="shared" si="62"/>
        <v>0</v>
      </c>
      <c r="J391" s="75">
        <v>6</v>
      </c>
      <c r="K391" s="89">
        <f t="shared" si="63"/>
        <v>0</v>
      </c>
      <c r="L391" s="75">
        <v>4.518</v>
      </c>
      <c r="M391" s="89">
        <f t="shared" si="64"/>
        <v>0</v>
      </c>
    </row>
    <row r="392" spans="1:13" ht="12.75" customHeight="1" thickBot="1">
      <c r="A392" s="108" t="s">
        <v>69</v>
      </c>
      <c r="B392" s="86" t="s">
        <v>407</v>
      </c>
      <c r="C392" s="85" t="s">
        <v>408</v>
      </c>
      <c r="D392" s="85" t="s">
        <v>203</v>
      </c>
      <c r="E392" s="85" t="s">
        <v>609</v>
      </c>
      <c r="F392" s="87" t="s">
        <v>610</v>
      </c>
      <c r="G392" s="230">
        <v>0</v>
      </c>
      <c r="H392" s="111">
        <v>82</v>
      </c>
      <c r="I392" s="88">
        <f t="shared" si="62"/>
        <v>0</v>
      </c>
      <c r="J392" s="75">
        <v>682</v>
      </c>
      <c r="K392" s="89">
        <f t="shared" si="63"/>
        <v>0</v>
      </c>
      <c r="L392" s="75">
        <f>81.6+610.8</f>
        <v>692.4</v>
      </c>
      <c r="M392" s="89">
        <f t="shared" si="64"/>
        <v>0</v>
      </c>
    </row>
    <row r="393" spans="1:15" ht="12.75" customHeight="1">
      <c r="A393" s="109"/>
      <c r="B393" s="91" t="s">
        <v>11</v>
      </c>
      <c r="C393" s="90" t="s">
        <v>408</v>
      </c>
      <c r="D393" s="90"/>
      <c r="E393" s="90"/>
      <c r="F393" s="92"/>
      <c r="G393" s="231">
        <f>SUM(G388:G392)</f>
        <v>7044.085</v>
      </c>
      <c r="H393" s="93">
        <f>SUM(H388:H392)</f>
        <v>7210.59</v>
      </c>
      <c r="I393" s="94">
        <f t="shared" si="62"/>
        <v>0.97690826964229</v>
      </c>
      <c r="J393" s="93">
        <f>SUM(J388:J392)</f>
        <v>7865.79</v>
      </c>
      <c r="K393" s="94">
        <f t="shared" si="63"/>
        <v>0.8955343328515</v>
      </c>
      <c r="L393" s="93">
        <f>SUM(L388:L392)</f>
        <v>7030.708</v>
      </c>
      <c r="M393" s="94">
        <f t="shared" si="64"/>
        <v>1.0019026533316417</v>
      </c>
      <c r="O393" s="80"/>
    </row>
    <row r="394" spans="9:13" ht="12.75" customHeight="1">
      <c r="I394" s="88"/>
      <c r="K394" s="89"/>
      <c r="M394" s="89"/>
    </row>
    <row r="395" spans="1:13" ht="12.75" customHeight="1">
      <c r="A395" s="108" t="s">
        <v>69</v>
      </c>
      <c r="B395" s="86" t="s">
        <v>411</v>
      </c>
      <c r="C395" s="85" t="s">
        <v>412</v>
      </c>
      <c r="D395" s="85" t="s">
        <v>397</v>
      </c>
      <c r="E395" s="85" t="s">
        <v>413</v>
      </c>
      <c r="F395" s="87" t="s">
        <v>414</v>
      </c>
      <c r="G395" s="230">
        <v>203.887</v>
      </c>
      <c r="H395" s="111">
        <v>203.89</v>
      </c>
      <c r="I395" s="88">
        <f>IF(H395=0,0,$G395/H395)</f>
        <v>0.9999852861837266</v>
      </c>
      <c r="J395" s="75">
        <v>203.89</v>
      </c>
      <c r="K395" s="89">
        <f>IF(J395=0,0,$G395/J395)</f>
        <v>0.9999852861837266</v>
      </c>
      <c r="L395" s="75">
        <v>203.885</v>
      </c>
      <c r="M395" s="89">
        <f>IF(L395=0,0,$G395/L395)</f>
        <v>1.0000098094514065</v>
      </c>
    </row>
    <row r="396" spans="1:13" ht="12.75" customHeight="1" thickBot="1">
      <c r="A396" s="108" t="s">
        <v>69</v>
      </c>
      <c r="B396" s="86" t="s">
        <v>411</v>
      </c>
      <c r="C396" s="85" t="s">
        <v>412</v>
      </c>
      <c r="D396" s="85" t="s">
        <v>611</v>
      </c>
      <c r="E396" s="85" t="s">
        <v>413</v>
      </c>
      <c r="F396" s="87" t="s">
        <v>612</v>
      </c>
      <c r="G396" s="230">
        <v>0</v>
      </c>
      <c r="H396" s="111">
        <v>0</v>
      </c>
      <c r="I396" s="88">
        <f>IF(H396=0,0,$G396/H396)</f>
        <v>0</v>
      </c>
      <c r="J396" s="75">
        <v>8.8</v>
      </c>
      <c r="K396" s="89">
        <f>IF(J396=0,0,$G396/J396)</f>
        <v>0</v>
      </c>
      <c r="L396" s="75">
        <v>8.8</v>
      </c>
      <c r="M396" s="89">
        <f>IF(L396=0,0,$G396/L396)</f>
        <v>0</v>
      </c>
    </row>
    <row r="397" spans="1:15" ht="12.75" customHeight="1">
      <c r="A397" s="109"/>
      <c r="B397" s="91" t="s">
        <v>11</v>
      </c>
      <c r="C397" s="90" t="s">
        <v>412</v>
      </c>
      <c r="D397" s="90"/>
      <c r="E397" s="90"/>
      <c r="F397" s="92"/>
      <c r="G397" s="231">
        <f>SUM(G395:G396)</f>
        <v>203.887</v>
      </c>
      <c r="H397" s="93">
        <f>SUM(H395:H396)</f>
        <v>203.89</v>
      </c>
      <c r="I397" s="94">
        <f>IF(H397=0,0,$G397/H397)</f>
        <v>0.9999852861837266</v>
      </c>
      <c r="J397" s="93">
        <f>SUM(J395:J396)</f>
        <v>212.69</v>
      </c>
      <c r="K397" s="94">
        <f>IF(J397=0,0,$G397/J397)</f>
        <v>0.9586111241713292</v>
      </c>
      <c r="L397" s="93">
        <f>SUM(L395:L396)</f>
        <v>212.685</v>
      </c>
      <c r="M397" s="94">
        <f>IF(L397=0,0,$G397/L397)</f>
        <v>0.9586336601076709</v>
      </c>
      <c r="O397" s="80"/>
    </row>
    <row r="398" spans="9:13" ht="12.75" customHeight="1">
      <c r="I398" s="88"/>
      <c r="K398" s="89"/>
      <c r="M398" s="89"/>
    </row>
    <row r="399" spans="1:13" ht="12.75" customHeight="1">
      <c r="A399" s="108" t="s">
        <v>69</v>
      </c>
      <c r="B399" s="86" t="s">
        <v>415</v>
      </c>
      <c r="C399" s="85" t="s">
        <v>18</v>
      </c>
      <c r="D399" s="85" t="s">
        <v>266</v>
      </c>
      <c r="E399" s="85" t="s">
        <v>416</v>
      </c>
      <c r="F399" s="87" t="s">
        <v>796</v>
      </c>
      <c r="G399" s="230">
        <v>3643</v>
      </c>
      <c r="H399" s="111">
        <v>3747</v>
      </c>
      <c r="I399" s="88">
        <f aca="true" t="shared" si="65" ref="I399:I414">IF(H399=0,0,$G399/H399)</f>
        <v>0.9722444622364559</v>
      </c>
      <c r="J399" s="75">
        <v>3900.38</v>
      </c>
      <c r="K399" s="89">
        <f aca="true" t="shared" si="66" ref="K399:K414">IF(J399=0,0,$G399/J399)</f>
        <v>0.9340115578482097</v>
      </c>
      <c r="L399" s="75">
        <f>3161.362-1.256</f>
        <v>3160.106</v>
      </c>
      <c r="M399" s="89">
        <f aca="true" t="shared" si="67" ref="M399:M414">IF(L399=0,0,$G399/L399)</f>
        <v>1.1528094310760462</v>
      </c>
    </row>
    <row r="400" spans="1:13" ht="12.75" customHeight="1">
      <c r="A400" s="108" t="s">
        <v>69</v>
      </c>
      <c r="B400" s="86" t="s">
        <v>415</v>
      </c>
      <c r="C400" s="85" t="s">
        <v>18</v>
      </c>
      <c r="D400" s="85" t="s">
        <v>217</v>
      </c>
      <c r="E400" s="85" t="s">
        <v>416</v>
      </c>
      <c r="F400" s="87" t="s">
        <v>300</v>
      </c>
      <c r="G400" s="230">
        <v>10</v>
      </c>
      <c r="H400" s="111">
        <v>10</v>
      </c>
      <c r="I400" s="88">
        <f t="shared" si="65"/>
        <v>1</v>
      </c>
      <c r="J400" s="75">
        <v>10</v>
      </c>
      <c r="K400" s="89">
        <f t="shared" si="66"/>
        <v>1</v>
      </c>
      <c r="L400" s="75">
        <v>0</v>
      </c>
      <c r="M400" s="89">
        <f t="shared" si="67"/>
        <v>0</v>
      </c>
    </row>
    <row r="401" spans="1:13" ht="12.75" customHeight="1">
      <c r="A401" s="108" t="s">
        <v>69</v>
      </c>
      <c r="B401" s="86" t="s">
        <v>415</v>
      </c>
      <c r="C401" s="85" t="s">
        <v>18</v>
      </c>
      <c r="D401" s="85" t="s">
        <v>220</v>
      </c>
      <c r="E401" s="85" t="s">
        <v>416</v>
      </c>
      <c r="F401" s="87" t="s">
        <v>221</v>
      </c>
      <c r="G401" s="230">
        <v>913.3</v>
      </c>
      <c r="H401" s="111">
        <v>939</v>
      </c>
      <c r="I401" s="88">
        <f t="shared" si="65"/>
        <v>0.9726304579339723</v>
      </c>
      <c r="J401" s="75">
        <v>977.35</v>
      </c>
      <c r="K401" s="89">
        <f t="shared" si="66"/>
        <v>0.9344656469023379</v>
      </c>
      <c r="L401" s="75">
        <v>768.178</v>
      </c>
      <c r="M401" s="89">
        <f t="shared" si="67"/>
        <v>1.1889171520142467</v>
      </c>
    </row>
    <row r="402" spans="1:13" ht="12.75" customHeight="1">
      <c r="A402" s="108" t="s">
        <v>69</v>
      </c>
      <c r="B402" s="86" t="s">
        <v>415</v>
      </c>
      <c r="C402" s="85" t="s">
        <v>18</v>
      </c>
      <c r="D402" s="85" t="s">
        <v>222</v>
      </c>
      <c r="E402" s="85" t="s">
        <v>416</v>
      </c>
      <c r="F402" s="87" t="s">
        <v>223</v>
      </c>
      <c r="G402" s="230">
        <v>328.8</v>
      </c>
      <c r="H402" s="111">
        <v>338</v>
      </c>
      <c r="I402" s="88">
        <f t="shared" si="65"/>
        <v>0.9727810650887574</v>
      </c>
      <c r="J402" s="75">
        <v>351.8</v>
      </c>
      <c r="K402" s="89">
        <f t="shared" si="66"/>
        <v>0.9346219442865265</v>
      </c>
      <c r="L402" s="75">
        <v>276.534</v>
      </c>
      <c r="M402" s="89">
        <f t="shared" si="67"/>
        <v>1.1890038837900585</v>
      </c>
    </row>
    <row r="403" spans="1:13" ht="12.75" customHeight="1">
      <c r="A403" s="108" t="s">
        <v>69</v>
      </c>
      <c r="B403" s="86" t="s">
        <v>415</v>
      </c>
      <c r="C403" s="85" t="s">
        <v>18</v>
      </c>
      <c r="D403" s="85" t="s">
        <v>253</v>
      </c>
      <c r="E403" s="85" t="s">
        <v>416</v>
      </c>
      <c r="F403" s="87" t="s">
        <v>417</v>
      </c>
      <c r="G403" s="230">
        <v>12</v>
      </c>
      <c r="H403" s="111">
        <v>12</v>
      </c>
      <c r="I403" s="88">
        <f t="shared" si="65"/>
        <v>1</v>
      </c>
      <c r="J403" s="75">
        <v>12</v>
      </c>
      <c r="K403" s="89">
        <f t="shared" si="66"/>
        <v>1</v>
      </c>
      <c r="L403" s="75">
        <v>6.196</v>
      </c>
      <c r="M403" s="89">
        <f t="shared" si="67"/>
        <v>1.9367333763718528</v>
      </c>
    </row>
    <row r="404" spans="1:13" ht="12.75" customHeight="1">
      <c r="A404" s="108" t="s">
        <v>69</v>
      </c>
      <c r="B404" s="86" t="s">
        <v>415</v>
      </c>
      <c r="C404" s="85" t="s">
        <v>18</v>
      </c>
      <c r="D404" s="85" t="s">
        <v>227</v>
      </c>
      <c r="E404" s="85" t="s">
        <v>416</v>
      </c>
      <c r="F404" s="87" t="s">
        <v>418</v>
      </c>
      <c r="G404" s="230">
        <v>20</v>
      </c>
      <c r="H404" s="111">
        <v>20</v>
      </c>
      <c r="I404" s="88">
        <f t="shared" si="65"/>
        <v>1</v>
      </c>
      <c r="J404" s="75">
        <v>18</v>
      </c>
      <c r="K404" s="89">
        <f t="shared" si="66"/>
        <v>1.1111111111111112</v>
      </c>
      <c r="L404" s="75">
        <v>10.872</v>
      </c>
      <c r="M404" s="89">
        <f t="shared" si="67"/>
        <v>1.839587932303164</v>
      </c>
    </row>
    <row r="405" spans="1:13" ht="12.75" customHeight="1">
      <c r="A405" s="108" t="s">
        <v>69</v>
      </c>
      <c r="B405" s="86" t="s">
        <v>415</v>
      </c>
      <c r="C405" s="85" t="s">
        <v>18</v>
      </c>
      <c r="D405" s="85" t="s">
        <v>176</v>
      </c>
      <c r="E405" s="85" t="s">
        <v>416</v>
      </c>
      <c r="F405" s="87" t="s">
        <v>178</v>
      </c>
      <c r="G405" s="230">
        <v>15</v>
      </c>
      <c r="H405" s="111">
        <v>15</v>
      </c>
      <c r="I405" s="88">
        <f t="shared" si="65"/>
        <v>1</v>
      </c>
      <c r="J405" s="75">
        <v>18</v>
      </c>
      <c r="K405" s="89">
        <f t="shared" si="66"/>
        <v>0.8333333333333334</v>
      </c>
      <c r="L405" s="75">
        <v>15.277</v>
      </c>
      <c r="M405" s="89">
        <f t="shared" si="67"/>
        <v>0.9818681678339989</v>
      </c>
    </row>
    <row r="406" spans="1:13" ht="12.75" customHeight="1">
      <c r="A406" s="108" t="s">
        <v>69</v>
      </c>
      <c r="B406" s="86" t="s">
        <v>415</v>
      </c>
      <c r="C406" s="85" t="s">
        <v>18</v>
      </c>
      <c r="D406" s="85" t="s">
        <v>187</v>
      </c>
      <c r="E406" s="85" t="s">
        <v>416</v>
      </c>
      <c r="F406" s="87" t="s">
        <v>302</v>
      </c>
      <c r="G406" s="230">
        <v>14</v>
      </c>
      <c r="H406" s="111">
        <v>14</v>
      </c>
      <c r="I406" s="88">
        <f t="shared" si="65"/>
        <v>1</v>
      </c>
      <c r="J406" s="75">
        <v>14</v>
      </c>
      <c r="K406" s="89">
        <f t="shared" si="66"/>
        <v>1</v>
      </c>
      <c r="L406" s="75">
        <v>11.277</v>
      </c>
      <c r="M406" s="89">
        <f t="shared" si="67"/>
        <v>1.2414649286157666</v>
      </c>
    </row>
    <row r="407" spans="1:13" ht="12.75" customHeight="1">
      <c r="A407" s="108" t="s">
        <v>69</v>
      </c>
      <c r="B407" s="86" t="s">
        <v>415</v>
      </c>
      <c r="C407" s="85" t="s">
        <v>18</v>
      </c>
      <c r="D407" s="85" t="s">
        <v>236</v>
      </c>
      <c r="E407" s="85" t="s">
        <v>416</v>
      </c>
      <c r="F407" s="87" t="s">
        <v>291</v>
      </c>
      <c r="G407" s="230">
        <v>102</v>
      </c>
      <c r="H407" s="111">
        <v>141</v>
      </c>
      <c r="I407" s="88">
        <f t="shared" si="65"/>
        <v>0.723404255319149</v>
      </c>
      <c r="J407" s="75">
        <v>74.78</v>
      </c>
      <c r="K407" s="89">
        <f t="shared" si="66"/>
        <v>1.3640010698047607</v>
      </c>
      <c r="L407" s="75">
        <v>66.609</v>
      </c>
      <c r="M407" s="89">
        <f t="shared" si="67"/>
        <v>1.5313245957753459</v>
      </c>
    </row>
    <row r="408" spans="1:13" ht="12.75" customHeight="1">
      <c r="A408" s="108" t="s">
        <v>69</v>
      </c>
      <c r="B408" s="86" t="s">
        <v>419</v>
      </c>
      <c r="C408" s="85" t="s">
        <v>18</v>
      </c>
      <c r="D408" s="85" t="s">
        <v>236</v>
      </c>
      <c r="E408" s="85" t="s">
        <v>420</v>
      </c>
      <c r="F408" s="87" t="s">
        <v>419</v>
      </c>
      <c r="G408" s="230">
        <v>40</v>
      </c>
      <c r="H408" s="111">
        <v>0</v>
      </c>
      <c r="I408" s="88">
        <f t="shared" si="65"/>
        <v>0</v>
      </c>
      <c r="J408" s="75">
        <v>0</v>
      </c>
      <c r="K408" s="89">
        <f t="shared" si="66"/>
        <v>0</v>
      </c>
      <c r="L408" s="75">
        <v>0</v>
      </c>
      <c r="M408" s="89">
        <f t="shared" si="67"/>
        <v>0</v>
      </c>
    </row>
    <row r="409" spans="1:13" ht="12.75" customHeight="1">
      <c r="A409" s="108" t="s">
        <v>69</v>
      </c>
      <c r="B409" s="86" t="s">
        <v>415</v>
      </c>
      <c r="C409" s="85" t="s">
        <v>18</v>
      </c>
      <c r="D409" s="85" t="s">
        <v>191</v>
      </c>
      <c r="E409" s="85" t="s">
        <v>416</v>
      </c>
      <c r="F409" s="87" t="s">
        <v>421</v>
      </c>
      <c r="G409" s="230">
        <v>50</v>
      </c>
      <c r="H409" s="111">
        <v>50</v>
      </c>
      <c r="I409" s="88">
        <f t="shared" si="65"/>
        <v>1</v>
      </c>
      <c r="J409" s="75">
        <v>45.8</v>
      </c>
      <c r="K409" s="89">
        <f t="shared" si="66"/>
        <v>1.091703056768559</v>
      </c>
      <c r="L409" s="75">
        <v>33.146</v>
      </c>
      <c r="M409" s="89">
        <f t="shared" si="67"/>
        <v>1.5084776443613106</v>
      </c>
    </row>
    <row r="410" spans="1:13" ht="12.75" customHeight="1">
      <c r="A410" s="108" t="s">
        <v>69</v>
      </c>
      <c r="B410" s="86" t="s">
        <v>415</v>
      </c>
      <c r="C410" s="85" t="s">
        <v>18</v>
      </c>
      <c r="D410" s="85" t="s">
        <v>193</v>
      </c>
      <c r="E410" s="85" t="s">
        <v>416</v>
      </c>
      <c r="F410" s="87" t="s">
        <v>422</v>
      </c>
      <c r="G410" s="230">
        <v>5</v>
      </c>
      <c r="H410" s="111">
        <v>5</v>
      </c>
      <c r="I410" s="88">
        <f t="shared" si="65"/>
        <v>1</v>
      </c>
      <c r="J410" s="75">
        <v>5</v>
      </c>
      <c r="K410" s="89">
        <f t="shared" si="66"/>
        <v>1</v>
      </c>
      <c r="L410" s="75">
        <v>3.316</v>
      </c>
      <c r="M410" s="89">
        <f t="shared" si="67"/>
        <v>1.5078407720144753</v>
      </c>
    </row>
    <row r="411" spans="1:13" ht="12.75" customHeight="1">
      <c r="A411" s="108" t="s">
        <v>69</v>
      </c>
      <c r="B411" s="86" t="s">
        <v>415</v>
      </c>
      <c r="C411" s="85" t="s">
        <v>18</v>
      </c>
      <c r="D411" s="85" t="s">
        <v>256</v>
      </c>
      <c r="E411" s="85" t="s">
        <v>416</v>
      </c>
      <c r="F411" s="87" t="s">
        <v>423</v>
      </c>
      <c r="G411" s="230">
        <v>20</v>
      </c>
      <c r="H411" s="111">
        <v>25</v>
      </c>
      <c r="I411" s="88">
        <f t="shared" si="65"/>
        <v>0.8</v>
      </c>
      <c r="J411" s="75">
        <v>17</v>
      </c>
      <c r="K411" s="89">
        <f t="shared" si="66"/>
        <v>1.1764705882352942</v>
      </c>
      <c r="L411" s="75">
        <v>7.872</v>
      </c>
      <c r="M411" s="89">
        <f t="shared" si="67"/>
        <v>2.540650406504065</v>
      </c>
    </row>
    <row r="412" spans="1:13" ht="12.75" customHeight="1">
      <c r="A412" s="108" t="s">
        <v>69</v>
      </c>
      <c r="B412" s="86" t="s">
        <v>415</v>
      </c>
      <c r="C412" s="85" t="s">
        <v>18</v>
      </c>
      <c r="D412" s="85" t="s">
        <v>195</v>
      </c>
      <c r="E412" s="85" t="s">
        <v>416</v>
      </c>
      <c r="F412" s="87" t="s">
        <v>214</v>
      </c>
      <c r="G412" s="230">
        <v>3</v>
      </c>
      <c r="H412" s="111">
        <v>3</v>
      </c>
      <c r="I412" s="88">
        <f t="shared" si="65"/>
        <v>1</v>
      </c>
      <c r="J412" s="75">
        <v>3</v>
      </c>
      <c r="K412" s="89">
        <f t="shared" si="66"/>
        <v>1</v>
      </c>
      <c r="L412" s="75">
        <v>0</v>
      </c>
      <c r="M412" s="89">
        <f t="shared" si="67"/>
        <v>0</v>
      </c>
    </row>
    <row r="413" spans="1:13" ht="12.75" customHeight="1" thickBot="1">
      <c r="A413" s="108" t="s">
        <v>69</v>
      </c>
      <c r="B413" s="86" t="s">
        <v>415</v>
      </c>
      <c r="C413" s="85" t="s">
        <v>18</v>
      </c>
      <c r="D413" s="85" t="s">
        <v>259</v>
      </c>
      <c r="E413" s="85" t="s">
        <v>416</v>
      </c>
      <c r="F413" s="87" t="s">
        <v>424</v>
      </c>
      <c r="G413" s="230">
        <v>5</v>
      </c>
      <c r="H413" s="111">
        <v>0</v>
      </c>
      <c r="I413" s="88">
        <f t="shared" si="65"/>
        <v>0</v>
      </c>
      <c r="J413" s="75">
        <v>1.2</v>
      </c>
      <c r="K413" s="89">
        <f t="shared" si="66"/>
        <v>4.166666666666667</v>
      </c>
      <c r="L413" s="75">
        <v>1.2</v>
      </c>
      <c r="M413" s="89">
        <f t="shared" si="67"/>
        <v>4.166666666666667</v>
      </c>
    </row>
    <row r="414" spans="1:15" ht="12.75" customHeight="1">
      <c r="A414" s="109"/>
      <c r="B414" s="91" t="s">
        <v>11</v>
      </c>
      <c r="C414" s="90" t="s">
        <v>18</v>
      </c>
      <c r="D414" s="90"/>
      <c r="E414" s="90"/>
      <c r="F414" s="92"/>
      <c r="G414" s="231">
        <f>SUM(G399:G413)</f>
        <v>5181.1</v>
      </c>
      <c r="H414" s="93">
        <f>SUM(H399:H413)</f>
        <v>5319</v>
      </c>
      <c r="I414" s="94">
        <f t="shared" si="65"/>
        <v>0.9740740740740741</v>
      </c>
      <c r="J414" s="93">
        <f>SUM(J399:J413)</f>
        <v>5448.31</v>
      </c>
      <c r="K414" s="94">
        <f t="shared" si="66"/>
        <v>0.9509554338868383</v>
      </c>
      <c r="L414" s="93">
        <f>SUM(L399:L413)</f>
        <v>4360.5830000000005</v>
      </c>
      <c r="M414" s="94">
        <f t="shared" si="67"/>
        <v>1.1881668116396362</v>
      </c>
      <c r="O414" s="80"/>
    </row>
    <row r="415" spans="9:13" ht="12.75" customHeight="1">
      <c r="I415" s="88"/>
      <c r="K415" s="89"/>
      <c r="M415" s="89"/>
    </row>
    <row r="416" spans="1:13" ht="12.75" customHeight="1">
      <c r="A416" s="108" t="s">
        <v>69</v>
      </c>
      <c r="B416" s="86" t="s">
        <v>425</v>
      </c>
      <c r="C416" s="85" t="s">
        <v>104</v>
      </c>
      <c r="D416" s="85" t="s">
        <v>426</v>
      </c>
      <c r="E416" s="85" t="s">
        <v>427</v>
      </c>
      <c r="F416" s="87" t="s">
        <v>428</v>
      </c>
      <c r="G416" s="230">
        <v>1000</v>
      </c>
      <c r="H416" s="111">
        <v>719</v>
      </c>
      <c r="I416" s="88">
        <f>IF(H416=0,0,$G416/H416)</f>
        <v>1.3908205841446453</v>
      </c>
      <c r="J416" s="75">
        <v>719</v>
      </c>
      <c r="K416" s="89">
        <f>IF(J416=0,0,$G416/J416)</f>
        <v>1.3908205841446453</v>
      </c>
      <c r="L416" s="75">
        <v>674.717</v>
      </c>
      <c r="M416" s="89">
        <f>IF(L416=0,0,$G416/L416)</f>
        <v>1.4821028668315754</v>
      </c>
    </row>
    <row r="417" spans="1:13" ht="12.75" customHeight="1" thickBot="1">
      <c r="A417" s="108" t="s">
        <v>69</v>
      </c>
      <c r="B417" s="86" t="s">
        <v>425</v>
      </c>
      <c r="C417" s="85" t="s">
        <v>104</v>
      </c>
      <c r="D417" s="85" t="s">
        <v>429</v>
      </c>
      <c r="E417" s="85" t="s">
        <v>427</v>
      </c>
      <c r="F417" s="87" t="s">
        <v>430</v>
      </c>
      <c r="G417" s="230">
        <v>200</v>
      </c>
      <c r="H417" s="111">
        <v>200</v>
      </c>
      <c r="I417" s="88">
        <f>IF(H417=0,0,$G417/H417)</f>
        <v>1</v>
      </c>
      <c r="J417" s="75">
        <v>200</v>
      </c>
      <c r="K417" s="89">
        <f>IF(J417=0,0,$G417/J417)</f>
        <v>1</v>
      </c>
      <c r="L417" s="75">
        <v>141.286</v>
      </c>
      <c r="M417" s="89">
        <f>IF(L417=0,0,$G417/L417)</f>
        <v>1.4155684214996531</v>
      </c>
    </row>
    <row r="418" spans="1:15" ht="12.75" customHeight="1">
      <c r="A418" s="109"/>
      <c r="B418" s="91" t="s">
        <v>11</v>
      </c>
      <c r="C418" s="90" t="s">
        <v>104</v>
      </c>
      <c r="D418" s="90"/>
      <c r="E418" s="90"/>
      <c r="F418" s="92"/>
      <c r="G418" s="231">
        <f>SUM(G416:G417)</f>
        <v>1200</v>
      </c>
      <c r="H418" s="93">
        <f>SUM(H416:H417)</f>
        <v>919</v>
      </c>
      <c r="I418" s="94">
        <f>IF(H418=0,0,$G418/H418)</f>
        <v>1.3057671381936888</v>
      </c>
      <c r="J418" s="93">
        <f>SUM(J416:J417)</f>
        <v>919</v>
      </c>
      <c r="K418" s="94">
        <f>IF(J418=0,0,$G418/J418)</f>
        <v>1.3057671381936888</v>
      </c>
      <c r="L418" s="93">
        <f>SUM(L416:L417)</f>
        <v>816.0029999999999</v>
      </c>
      <c r="M418" s="94">
        <f>IF(L418=0,0,$G418/L418)</f>
        <v>1.4705828287396003</v>
      </c>
      <c r="O418" s="80"/>
    </row>
    <row r="419" spans="9:13" ht="12.75" customHeight="1">
      <c r="I419" s="88"/>
      <c r="K419" s="89"/>
      <c r="M419" s="89"/>
    </row>
    <row r="420" spans="1:13" ht="12.75" customHeight="1" thickBot="1">
      <c r="A420" s="108" t="s">
        <v>69</v>
      </c>
      <c r="B420" s="86" t="s">
        <v>431</v>
      </c>
      <c r="C420" s="85" t="s">
        <v>432</v>
      </c>
      <c r="D420" s="85" t="s">
        <v>295</v>
      </c>
      <c r="E420" s="85" t="s">
        <v>433</v>
      </c>
      <c r="F420" s="87" t="s">
        <v>434</v>
      </c>
      <c r="G420" s="230">
        <v>1250</v>
      </c>
      <c r="H420" s="111">
        <v>1000</v>
      </c>
      <c r="I420" s="88">
        <f>IF(H420=0,0,$G420/H420)</f>
        <v>1.25</v>
      </c>
      <c r="J420" s="75">
        <v>6036.33</v>
      </c>
      <c r="K420" s="89">
        <f>IF(J420=0,0,$G420/J420)</f>
        <v>0.20707946715968145</v>
      </c>
      <c r="L420" s="75">
        <v>6177.28</v>
      </c>
      <c r="M420" s="89">
        <f>IF(L420=0,0,$G420/L420)</f>
        <v>0.2023544343141318</v>
      </c>
    </row>
    <row r="421" spans="1:15" ht="12.75" customHeight="1">
      <c r="A421" s="109"/>
      <c r="B421" s="91" t="s">
        <v>11</v>
      </c>
      <c r="C421" s="90" t="s">
        <v>432</v>
      </c>
      <c r="D421" s="90"/>
      <c r="E421" s="90"/>
      <c r="F421" s="92"/>
      <c r="G421" s="231">
        <f>SUM(G420)</f>
        <v>1250</v>
      </c>
      <c r="H421" s="93">
        <f>SUM(H420)</f>
        <v>1000</v>
      </c>
      <c r="I421" s="94">
        <f>IF(H421=0,0,$G421/H421)</f>
        <v>1.25</v>
      </c>
      <c r="J421" s="93">
        <f>SUM(J420)</f>
        <v>6036.33</v>
      </c>
      <c r="K421" s="94">
        <f>IF(J421=0,0,$G421/J421)</f>
        <v>0.20707946715968145</v>
      </c>
      <c r="L421" s="93">
        <f>SUM(L420)</f>
        <v>6177.28</v>
      </c>
      <c r="M421" s="94">
        <f>IF(L421=0,0,$G421/L421)</f>
        <v>0.2023544343141318</v>
      </c>
      <c r="O421" s="80"/>
    </row>
    <row r="422" spans="9:13" ht="12.75" customHeight="1">
      <c r="I422" s="88"/>
      <c r="K422" s="89"/>
      <c r="M422" s="89"/>
    </row>
    <row r="423" spans="1:13" ht="12.75" customHeight="1" thickBot="1">
      <c r="A423" s="108" t="s">
        <v>69</v>
      </c>
      <c r="B423" s="86" t="s">
        <v>431</v>
      </c>
      <c r="C423" s="85" t="s">
        <v>806</v>
      </c>
      <c r="D423" s="85" t="s">
        <v>809</v>
      </c>
      <c r="E423" s="85" t="s">
        <v>807</v>
      </c>
      <c r="F423" s="87" t="s">
        <v>808</v>
      </c>
      <c r="G423" s="230">
        <v>0</v>
      </c>
      <c r="H423" s="111">
        <v>675</v>
      </c>
      <c r="I423" s="88">
        <f>IF(H423=0,0,$G423/H423)</f>
        <v>0</v>
      </c>
      <c r="J423" s="75">
        <v>675</v>
      </c>
      <c r="K423" s="89">
        <f>IF(J423=0,0,$G423/J423)</f>
        <v>0</v>
      </c>
      <c r="L423" s="75">
        <v>675</v>
      </c>
      <c r="M423" s="89">
        <f>IF(L423=0,0,$G423/L423)</f>
        <v>0</v>
      </c>
    </row>
    <row r="424" spans="1:15" ht="12.75" customHeight="1">
      <c r="A424" s="109"/>
      <c r="B424" s="91" t="s">
        <v>11</v>
      </c>
      <c r="C424" s="90" t="s">
        <v>806</v>
      </c>
      <c r="D424" s="90"/>
      <c r="E424" s="90"/>
      <c r="F424" s="92"/>
      <c r="G424" s="231">
        <f>SUM(G423)</f>
        <v>0</v>
      </c>
      <c r="H424" s="93">
        <f>SUM(H423)</f>
        <v>675</v>
      </c>
      <c r="I424" s="94">
        <f>IF(H424=0,0,$G424/H424)</f>
        <v>0</v>
      </c>
      <c r="J424" s="93">
        <f>SUM(J423)</f>
        <v>675</v>
      </c>
      <c r="K424" s="94">
        <f>IF(J424=0,0,$G424/J424)</f>
        <v>0</v>
      </c>
      <c r="L424" s="93">
        <f>SUM(L423)</f>
        <v>675</v>
      </c>
      <c r="M424" s="94">
        <f>IF(L424=0,0,$G424/L424)</f>
        <v>0</v>
      </c>
      <c r="O424" s="80"/>
    </row>
    <row r="425" spans="9:13" ht="12.75" customHeight="1">
      <c r="I425" s="88"/>
      <c r="K425" s="89"/>
      <c r="M425" s="89"/>
    </row>
    <row r="426" spans="1:13" ht="12.75" customHeight="1">
      <c r="A426" s="108" t="s">
        <v>69</v>
      </c>
      <c r="B426" s="86" t="s">
        <v>435</v>
      </c>
      <c r="C426" s="85" t="s">
        <v>436</v>
      </c>
      <c r="D426" s="85" t="s">
        <v>368</v>
      </c>
      <c r="E426" s="85" t="s">
        <v>437</v>
      </c>
      <c r="F426" s="87" t="s">
        <v>648</v>
      </c>
      <c r="G426" s="230">
        <v>100</v>
      </c>
      <c r="H426" s="111">
        <v>0</v>
      </c>
      <c r="I426" s="88">
        <f aca="true" t="shared" si="68" ref="I426:I433">IF(H426=0,0,$G426/H426)</f>
        <v>0</v>
      </c>
      <c r="J426" s="75">
        <v>100</v>
      </c>
      <c r="K426" s="89">
        <f aca="true" t="shared" si="69" ref="K426:K433">IF(J426=0,0,$G426/J426)</f>
        <v>1</v>
      </c>
      <c r="L426" s="75">
        <v>54.388</v>
      </c>
      <c r="M426" s="89">
        <f aca="true" t="shared" si="70" ref="M426:M433">IF(L426=0,0,$G426/L426)</f>
        <v>1.8386408766639701</v>
      </c>
    </row>
    <row r="427" spans="1:13" ht="12.75" customHeight="1">
      <c r="A427" s="108" t="s">
        <v>69</v>
      </c>
      <c r="B427" s="86" t="s">
        <v>435</v>
      </c>
      <c r="C427" s="85" t="s">
        <v>436</v>
      </c>
      <c r="D427" s="85" t="s">
        <v>200</v>
      </c>
      <c r="E427" s="85" t="s">
        <v>437</v>
      </c>
      <c r="F427" s="87" t="s">
        <v>438</v>
      </c>
      <c r="G427" s="230">
        <v>10000</v>
      </c>
      <c r="H427" s="111">
        <v>0</v>
      </c>
      <c r="I427" s="88">
        <f t="shared" si="68"/>
        <v>0</v>
      </c>
      <c r="J427" s="75">
        <v>0</v>
      </c>
      <c r="K427" s="89">
        <f t="shared" si="69"/>
        <v>0</v>
      </c>
      <c r="L427" s="75">
        <v>0</v>
      </c>
      <c r="M427" s="89">
        <f t="shared" si="70"/>
        <v>0</v>
      </c>
    </row>
    <row r="428" spans="1:13" ht="12.75" customHeight="1">
      <c r="A428" s="108" t="s">
        <v>69</v>
      </c>
      <c r="B428" s="86" t="s">
        <v>435</v>
      </c>
      <c r="C428" s="85" t="s">
        <v>436</v>
      </c>
      <c r="D428" s="85" t="s">
        <v>200</v>
      </c>
      <c r="E428" s="85" t="s">
        <v>437</v>
      </c>
      <c r="F428" s="87" t="s">
        <v>439</v>
      </c>
      <c r="G428" s="230">
        <v>1300</v>
      </c>
      <c r="H428" s="111">
        <v>1281</v>
      </c>
      <c r="I428" s="88">
        <f t="shared" si="68"/>
        <v>1.014832162373146</v>
      </c>
      <c r="J428" s="75">
        <v>1486.04</v>
      </c>
      <c r="K428" s="89">
        <f t="shared" si="69"/>
        <v>0.8748082151220694</v>
      </c>
      <c r="L428" s="75">
        <v>0</v>
      </c>
      <c r="M428" s="89">
        <f t="shared" si="70"/>
        <v>0</v>
      </c>
    </row>
    <row r="429" spans="1:13" ht="12.75" customHeight="1">
      <c r="A429" s="108" t="s">
        <v>69</v>
      </c>
      <c r="B429" s="86" t="s">
        <v>440</v>
      </c>
      <c r="C429" s="85" t="s">
        <v>436</v>
      </c>
      <c r="D429" s="85" t="s">
        <v>349</v>
      </c>
      <c r="E429" s="85" t="s">
        <v>437</v>
      </c>
      <c r="F429" s="87" t="s">
        <v>440</v>
      </c>
      <c r="G429" s="230">
        <v>1000</v>
      </c>
      <c r="H429" s="111">
        <v>1000</v>
      </c>
      <c r="I429" s="88">
        <f t="shared" si="68"/>
        <v>1</v>
      </c>
      <c r="J429" s="75">
        <v>482.54</v>
      </c>
      <c r="K429" s="89">
        <f t="shared" si="69"/>
        <v>2.0723670576532514</v>
      </c>
      <c r="L429" s="75">
        <v>6.489</v>
      </c>
      <c r="M429" s="89">
        <f t="shared" si="70"/>
        <v>154.10695022345507</v>
      </c>
    </row>
    <row r="430" spans="1:13" ht="12.75" customHeight="1">
      <c r="A430" s="108" t="s">
        <v>69</v>
      </c>
      <c r="B430" s="86" t="s">
        <v>441</v>
      </c>
      <c r="C430" s="85" t="s">
        <v>436</v>
      </c>
      <c r="D430" s="85" t="s">
        <v>442</v>
      </c>
      <c r="E430" s="85" t="s">
        <v>443</v>
      </c>
      <c r="F430" s="87" t="s">
        <v>444</v>
      </c>
      <c r="G430" s="230">
        <v>1012</v>
      </c>
      <c r="H430" s="111">
        <v>7059</v>
      </c>
      <c r="I430" s="88">
        <f t="shared" si="68"/>
        <v>0.14336308258960193</v>
      </c>
      <c r="J430" s="75">
        <v>5753.8</v>
      </c>
      <c r="K430" s="89">
        <f t="shared" si="69"/>
        <v>0.1758837637735062</v>
      </c>
      <c r="L430" s="75">
        <v>0</v>
      </c>
      <c r="M430" s="89">
        <f t="shared" si="70"/>
        <v>0</v>
      </c>
    </row>
    <row r="431" spans="1:13" ht="12.75" customHeight="1">
      <c r="A431" s="108" t="s">
        <v>69</v>
      </c>
      <c r="B431" s="86" t="s">
        <v>441</v>
      </c>
      <c r="C431" s="85" t="s">
        <v>436</v>
      </c>
      <c r="D431" s="85" t="s">
        <v>442</v>
      </c>
      <c r="E431" s="85" t="s">
        <v>443</v>
      </c>
      <c r="F431" s="87" t="s">
        <v>445</v>
      </c>
      <c r="G431" s="230">
        <v>0</v>
      </c>
      <c r="H431" s="111">
        <v>0</v>
      </c>
      <c r="I431" s="88">
        <f t="shared" si="68"/>
        <v>0</v>
      </c>
      <c r="J431" s="75">
        <v>0</v>
      </c>
      <c r="K431" s="89">
        <f t="shared" si="69"/>
        <v>0</v>
      </c>
      <c r="L431" s="75">
        <v>0</v>
      </c>
      <c r="M431" s="89">
        <f t="shared" si="70"/>
        <v>0</v>
      </c>
    </row>
    <row r="432" spans="1:13" ht="12.75" customHeight="1" thickBot="1">
      <c r="A432" s="108" t="s">
        <v>69</v>
      </c>
      <c r="B432" s="86" t="s">
        <v>441</v>
      </c>
      <c r="C432" s="85" t="s">
        <v>436</v>
      </c>
      <c r="D432" s="85" t="s">
        <v>442</v>
      </c>
      <c r="E432" s="85" t="s">
        <v>443</v>
      </c>
      <c r="F432" s="87" t="s">
        <v>675</v>
      </c>
      <c r="G432" s="230">
        <v>0</v>
      </c>
      <c r="H432" s="111">
        <v>0</v>
      </c>
      <c r="I432" s="88">
        <f t="shared" si="68"/>
        <v>0</v>
      </c>
      <c r="J432" s="75">
        <v>0</v>
      </c>
      <c r="K432" s="89">
        <f t="shared" si="69"/>
        <v>0</v>
      </c>
      <c r="L432" s="75">
        <v>0</v>
      </c>
      <c r="M432" s="89">
        <f t="shared" si="70"/>
        <v>0</v>
      </c>
    </row>
    <row r="433" spans="1:15" ht="12.75" customHeight="1">
      <c r="A433" s="109"/>
      <c r="B433" s="91" t="s">
        <v>11</v>
      </c>
      <c r="C433" s="90" t="s">
        <v>436</v>
      </c>
      <c r="D433" s="90"/>
      <c r="E433" s="90"/>
      <c r="F433" s="92"/>
      <c r="G433" s="231">
        <f aca="true" t="shared" si="71" ref="G433:L433">SUM(G426:G432)</f>
        <v>13412</v>
      </c>
      <c r="H433" s="93">
        <f t="shared" si="71"/>
        <v>9340</v>
      </c>
      <c r="I433" s="94">
        <f t="shared" si="68"/>
        <v>1.4359743040685224</v>
      </c>
      <c r="J433" s="93">
        <f t="shared" si="71"/>
        <v>7822.38</v>
      </c>
      <c r="K433" s="94">
        <f t="shared" si="69"/>
        <v>1.7145676891176342</v>
      </c>
      <c r="L433" s="93">
        <f t="shared" si="71"/>
        <v>60.876999999999995</v>
      </c>
      <c r="M433" s="94">
        <f t="shared" si="70"/>
        <v>220.3130903296812</v>
      </c>
      <c r="O433" s="80"/>
    </row>
    <row r="434" spans="9:13" ht="12.75" customHeight="1">
      <c r="I434" s="88"/>
      <c r="K434" s="89"/>
      <c r="M434" s="89"/>
    </row>
    <row r="435" spans="1:15" ht="12.75" customHeight="1">
      <c r="A435" s="107"/>
      <c r="B435" s="95" t="s">
        <v>107</v>
      </c>
      <c r="C435" s="81"/>
      <c r="D435" s="81"/>
      <c r="E435" s="81"/>
      <c r="F435" s="96"/>
      <c r="G435" s="232">
        <f>SUM(G386,G393,G397,G414,G418,G421,G424,G433)</f>
        <v>32277.111</v>
      </c>
      <c r="H435" s="103">
        <f>SUM(H386,H393,H397,H414,H418,H421,H424,H433)</f>
        <v>35501.822</v>
      </c>
      <c r="I435" s="98">
        <f>IF(H435=0,0,$G435/H435)</f>
        <v>0.9091677322927257</v>
      </c>
      <c r="J435" s="97">
        <f>SUM(,J386,J393,J397,J414,J418,J421,J424,J433)</f>
        <v>39995.981</v>
      </c>
      <c r="K435" s="99">
        <f>IF(J435=0,0,$G435/J435)</f>
        <v>0.8070088592151297</v>
      </c>
      <c r="L435" s="97">
        <f>SUM(L386,L393,L397,L414,L418,L421,L424,L433)</f>
        <v>29407.484</v>
      </c>
      <c r="M435" s="99">
        <f>IF(L435=0,0,$G435/L435)</f>
        <v>1.0975815204048058</v>
      </c>
      <c r="O435" s="80"/>
    </row>
    <row r="436" spans="9:13" ht="12.75" customHeight="1">
      <c r="I436" s="88"/>
      <c r="K436" s="89"/>
      <c r="M436" s="89"/>
    </row>
    <row r="437" spans="9:13" ht="12.75" customHeight="1">
      <c r="I437" s="88"/>
      <c r="K437" s="89"/>
      <c r="M437" s="89"/>
    </row>
    <row r="438" spans="1:13" ht="12.75" customHeight="1">
      <c r="A438" s="108" t="s">
        <v>108</v>
      </c>
      <c r="B438" s="86" t="s">
        <v>446</v>
      </c>
      <c r="C438" s="85" t="s">
        <v>18</v>
      </c>
      <c r="D438" s="85" t="s">
        <v>266</v>
      </c>
      <c r="E438" s="85" t="s">
        <v>447</v>
      </c>
      <c r="F438" s="87" t="s">
        <v>797</v>
      </c>
      <c r="G438" s="230">
        <v>2925</v>
      </c>
      <c r="H438" s="111">
        <v>770</v>
      </c>
      <c r="I438" s="88">
        <f aca="true" t="shared" si="72" ref="I438:I453">IF(H438=0,0,$G438/H438)</f>
        <v>3.7987012987012987</v>
      </c>
      <c r="J438" s="75">
        <v>1750</v>
      </c>
      <c r="K438" s="89">
        <f aca="true" t="shared" si="73" ref="K438:K453">IF(J438=0,0,$G438/J438)</f>
        <v>1.6714285714285715</v>
      </c>
      <c r="L438" s="75">
        <v>1241.763</v>
      </c>
      <c r="M438" s="89">
        <f aca="true" t="shared" si="74" ref="M438:M453">IF(L438=0,0,$G438/L438)</f>
        <v>2.35552194742475</v>
      </c>
    </row>
    <row r="439" spans="1:13" ht="12.75" customHeight="1">
      <c r="A439" s="108" t="s">
        <v>108</v>
      </c>
      <c r="B439" s="86" t="s">
        <v>446</v>
      </c>
      <c r="C439" s="85" t="s">
        <v>18</v>
      </c>
      <c r="D439" s="85" t="s">
        <v>217</v>
      </c>
      <c r="E439" s="85" t="s">
        <v>447</v>
      </c>
      <c r="F439" s="87" t="s">
        <v>300</v>
      </c>
      <c r="G439" s="230">
        <v>0</v>
      </c>
      <c r="H439" s="111">
        <v>334</v>
      </c>
      <c r="I439" s="88">
        <f t="shared" si="72"/>
        <v>0</v>
      </c>
      <c r="J439" s="75">
        <v>302.32</v>
      </c>
      <c r="K439" s="89">
        <f t="shared" si="73"/>
        <v>0</v>
      </c>
      <c r="L439" s="75">
        <v>293.25</v>
      </c>
      <c r="M439" s="89">
        <f t="shared" si="74"/>
        <v>0</v>
      </c>
    </row>
    <row r="440" spans="1:13" ht="12.75" customHeight="1">
      <c r="A440" s="108" t="s">
        <v>108</v>
      </c>
      <c r="B440" s="86" t="s">
        <v>446</v>
      </c>
      <c r="C440" s="85" t="s">
        <v>18</v>
      </c>
      <c r="D440" s="85" t="s">
        <v>220</v>
      </c>
      <c r="E440" s="85" t="s">
        <v>447</v>
      </c>
      <c r="F440" s="87" t="s">
        <v>286</v>
      </c>
      <c r="G440" s="230">
        <v>732</v>
      </c>
      <c r="H440" s="111">
        <v>276</v>
      </c>
      <c r="I440" s="88">
        <f t="shared" si="72"/>
        <v>2.652173913043478</v>
      </c>
      <c r="J440" s="75">
        <v>515</v>
      </c>
      <c r="K440" s="89">
        <f t="shared" si="73"/>
        <v>1.4213592233009709</v>
      </c>
      <c r="L440" s="75">
        <v>376.579</v>
      </c>
      <c r="M440" s="89">
        <f t="shared" si="74"/>
        <v>1.9438152419545434</v>
      </c>
    </row>
    <row r="441" spans="1:13" ht="12.75" customHeight="1">
      <c r="A441" s="108" t="s">
        <v>108</v>
      </c>
      <c r="B441" s="86" t="s">
        <v>446</v>
      </c>
      <c r="C441" s="85" t="s">
        <v>18</v>
      </c>
      <c r="D441" s="85" t="s">
        <v>211</v>
      </c>
      <c r="E441" s="85" t="s">
        <v>447</v>
      </c>
      <c r="F441" s="87" t="s">
        <v>287</v>
      </c>
      <c r="G441" s="230">
        <v>264</v>
      </c>
      <c r="H441" s="111">
        <v>99</v>
      </c>
      <c r="I441" s="88">
        <f t="shared" si="72"/>
        <v>2.6666666666666665</v>
      </c>
      <c r="J441" s="75">
        <v>185</v>
      </c>
      <c r="K441" s="89">
        <f t="shared" si="73"/>
        <v>1.427027027027027</v>
      </c>
      <c r="L441" s="75">
        <v>135.566</v>
      </c>
      <c r="M441" s="89">
        <f t="shared" si="74"/>
        <v>1.9473909387309503</v>
      </c>
    </row>
    <row r="442" spans="1:13" ht="12.75" customHeight="1">
      <c r="A442" s="108" t="s">
        <v>108</v>
      </c>
      <c r="B442" s="86" t="s">
        <v>446</v>
      </c>
      <c r="C442" s="85" t="s">
        <v>18</v>
      </c>
      <c r="D442" s="85" t="s">
        <v>253</v>
      </c>
      <c r="E442" s="85" t="s">
        <v>447</v>
      </c>
      <c r="F442" s="87" t="s">
        <v>254</v>
      </c>
      <c r="G442" s="230">
        <v>5</v>
      </c>
      <c r="H442" s="111">
        <v>5</v>
      </c>
      <c r="I442" s="88">
        <f t="shared" si="72"/>
        <v>1</v>
      </c>
      <c r="J442" s="75">
        <v>5</v>
      </c>
      <c r="K442" s="89">
        <f t="shared" si="73"/>
        <v>1</v>
      </c>
      <c r="L442" s="75">
        <v>1.919</v>
      </c>
      <c r="M442" s="89">
        <f t="shared" si="74"/>
        <v>2.6055237102657633</v>
      </c>
    </row>
    <row r="443" spans="1:13" ht="12.75" customHeight="1">
      <c r="A443" s="108" t="s">
        <v>108</v>
      </c>
      <c r="B443" s="86" t="s">
        <v>446</v>
      </c>
      <c r="C443" s="85" t="s">
        <v>18</v>
      </c>
      <c r="D443" s="85" t="s">
        <v>227</v>
      </c>
      <c r="E443" s="85" t="s">
        <v>447</v>
      </c>
      <c r="F443" s="87" t="s">
        <v>228</v>
      </c>
      <c r="G443" s="230">
        <v>820</v>
      </c>
      <c r="H443" s="111">
        <v>719</v>
      </c>
      <c r="I443" s="88">
        <f t="shared" si="72"/>
        <v>1.1404728789986092</v>
      </c>
      <c r="J443" s="75">
        <v>350</v>
      </c>
      <c r="K443" s="89">
        <f t="shared" si="73"/>
        <v>2.342857142857143</v>
      </c>
      <c r="L443" s="75">
        <v>318.94</v>
      </c>
      <c r="M443" s="89">
        <f t="shared" si="74"/>
        <v>2.5710164921301812</v>
      </c>
    </row>
    <row r="444" spans="1:13" ht="12.75" customHeight="1">
      <c r="A444" s="108" t="s">
        <v>108</v>
      </c>
      <c r="B444" s="86" t="s">
        <v>446</v>
      </c>
      <c r="C444" s="85" t="s">
        <v>18</v>
      </c>
      <c r="D444" s="85" t="s">
        <v>176</v>
      </c>
      <c r="E444" s="85" t="s">
        <v>447</v>
      </c>
      <c r="F444" s="87" t="s">
        <v>178</v>
      </c>
      <c r="G444" s="230">
        <v>355</v>
      </c>
      <c r="H444" s="111">
        <v>303</v>
      </c>
      <c r="I444" s="88">
        <f t="shared" si="72"/>
        <v>1.1716171617161717</v>
      </c>
      <c r="J444" s="75">
        <v>153</v>
      </c>
      <c r="K444" s="89">
        <f t="shared" si="73"/>
        <v>2.320261437908497</v>
      </c>
      <c r="L444" s="75">
        <v>107.532</v>
      </c>
      <c r="M444" s="89">
        <f t="shared" si="74"/>
        <v>3.301342856080051</v>
      </c>
    </row>
    <row r="445" spans="1:13" ht="12.75" customHeight="1">
      <c r="A445" s="108" t="s">
        <v>108</v>
      </c>
      <c r="B445" s="86" t="s">
        <v>446</v>
      </c>
      <c r="C445" s="85" t="s">
        <v>18</v>
      </c>
      <c r="D445" s="85" t="s">
        <v>187</v>
      </c>
      <c r="E445" s="85" t="s">
        <v>447</v>
      </c>
      <c r="F445" s="87" t="s">
        <v>302</v>
      </c>
      <c r="G445" s="230">
        <v>411</v>
      </c>
      <c r="H445" s="111">
        <v>1380</v>
      </c>
      <c r="I445" s="88">
        <f t="shared" si="72"/>
        <v>0.29782608695652174</v>
      </c>
      <c r="J445" s="75">
        <v>812</v>
      </c>
      <c r="K445" s="89">
        <f t="shared" si="73"/>
        <v>0.5061576354679803</v>
      </c>
      <c r="L445" s="75">
        <v>694.8</v>
      </c>
      <c r="M445" s="89">
        <f t="shared" si="74"/>
        <v>0.5915371329879102</v>
      </c>
    </row>
    <row r="446" spans="1:13" ht="12.75" customHeight="1">
      <c r="A446" s="108" t="s">
        <v>108</v>
      </c>
      <c r="B446" s="86" t="s">
        <v>446</v>
      </c>
      <c r="C446" s="85" t="s">
        <v>18</v>
      </c>
      <c r="D446" s="85" t="s">
        <v>236</v>
      </c>
      <c r="E446" s="85" t="s">
        <v>447</v>
      </c>
      <c r="F446" s="87" t="s">
        <v>237</v>
      </c>
      <c r="G446" s="230">
        <v>70</v>
      </c>
      <c r="H446" s="111">
        <v>45</v>
      </c>
      <c r="I446" s="88">
        <f t="shared" si="72"/>
        <v>1.5555555555555556</v>
      </c>
      <c r="J446" s="75">
        <v>12.16</v>
      </c>
      <c r="K446" s="89">
        <f t="shared" si="73"/>
        <v>5.756578947368421</v>
      </c>
      <c r="L446" s="75">
        <v>12.164</v>
      </c>
      <c r="M446" s="89">
        <f t="shared" si="74"/>
        <v>5.754685958566261</v>
      </c>
    </row>
    <row r="447" spans="1:13" ht="12.75" customHeight="1">
      <c r="A447" s="108" t="s">
        <v>108</v>
      </c>
      <c r="B447" s="86" t="s">
        <v>446</v>
      </c>
      <c r="C447" s="85" t="s">
        <v>18</v>
      </c>
      <c r="D447" s="85" t="s">
        <v>191</v>
      </c>
      <c r="E447" s="85" t="s">
        <v>447</v>
      </c>
      <c r="F447" s="87" t="s">
        <v>421</v>
      </c>
      <c r="G447" s="230">
        <v>4613</v>
      </c>
      <c r="H447" s="111">
        <f>3395+22+30</f>
        <v>3447</v>
      </c>
      <c r="I447" s="88">
        <f t="shared" si="72"/>
        <v>1.3382651581085</v>
      </c>
      <c r="J447" s="75">
        <v>4465</v>
      </c>
      <c r="K447" s="89">
        <f t="shared" si="73"/>
        <v>1.0331466965285554</v>
      </c>
      <c r="L447" s="75">
        <v>2844.865</v>
      </c>
      <c r="M447" s="89">
        <f t="shared" si="74"/>
        <v>1.6215180685199475</v>
      </c>
    </row>
    <row r="448" spans="1:13" ht="12.75" customHeight="1">
      <c r="A448" s="108" t="s">
        <v>108</v>
      </c>
      <c r="B448" s="86" t="s">
        <v>446</v>
      </c>
      <c r="C448" s="85" t="s">
        <v>18</v>
      </c>
      <c r="D448" s="85" t="s">
        <v>193</v>
      </c>
      <c r="E448" s="85" t="s">
        <v>447</v>
      </c>
      <c r="F448" s="87" t="s">
        <v>448</v>
      </c>
      <c r="G448" s="230">
        <v>100</v>
      </c>
      <c r="H448" s="111">
        <v>5428</v>
      </c>
      <c r="I448" s="88">
        <f t="shared" si="72"/>
        <v>0.018422991893883568</v>
      </c>
      <c r="J448" s="75">
        <v>3880</v>
      </c>
      <c r="K448" s="89">
        <f t="shared" si="73"/>
        <v>0.02577319587628866</v>
      </c>
      <c r="L448" s="75">
        <v>3847.97</v>
      </c>
      <c r="M448" s="89">
        <f t="shared" si="74"/>
        <v>0.02598772859455765</v>
      </c>
    </row>
    <row r="449" spans="1:13" ht="12.75" customHeight="1">
      <c r="A449" s="108" t="s">
        <v>108</v>
      </c>
      <c r="B449" s="86" t="s">
        <v>446</v>
      </c>
      <c r="C449" s="85" t="s">
        <v>18</v>
      </c>
      <c r="D449" s="85" t="s">
        <v>449</v>
      </c>
      <c r="E449" s="85" t="s">
        <v>447</v>
      </c>
      <c r="F449" s="87" t="s">
        <v>450</v>
      </c>
      <c r="G449" s="230">
        <v>350</v>
      </c>
      <c r="H449" s="111">
        <v>355</v>
      </c>
      <c r="I449" s="88">
        <f t="shared" si="72"/>
        <v>0.9859154929577465</v>
      </c>
      <c r="J449" s="75">
        <v>180</v>
      </c>
      <c r="K449" s="89">
        <f t="shared" si="73"/>
        <v>1.9444444444444444</v>
      </c>
      <c r="L449" s="75">
        <v>92.121</v>
      </c>
      <c r="M449" s="89">
        <f t="shared" si="74"/>
        <v>3.7993508537684133</v>
      </c>
    </row>
    <row r="450" spans="1:13" ht="12.75" customHeight="1">
      <c r="A450" s="108" t="s">
        <v>108</v>
      </c>
      <c r="B450" s="86" t="s">
        <v>446</v>
      </c>
      <c r="C450" s="85" t="s">
        <v>18</v>
      </c>
      <c r="D450" s="85" t="s">
        <v>256</v>
      </c>
      <c r="E450" s="85" t="s">
        <v>447</v>
      </c>
      <c r="F450" s="87" t="s">
        <v>257</v>
      </c>
      <c r="G450" s="230">
        <v>5</v>
      </c>
      <c r="H450" s="111">
        <v>5</v>
      </c>
      <c r="I450" s="88">
        <f t="shared" si="72"/>
        <v>1</v>
      </c>
      <c r="J450" s="75">
        <v>5</v>
      </c>
      <c r="K450" s="89">
        <f t="shared" si="73"/>
        <v>1</v>
      </c>
      <c r="L450" s="75">
        <v>1.8</v>
      </c>
      <c r="M450" s="89">
        <f t="shared" si="74"/>
        <v>2.7777777777777777</v>
      </c>
    </row>
    <row r="451" spans="1:13" ht="12.75" customHeight="1">
      <c r="A451" s="108" t="s">
        <v>108</v>
      </c>
      <c r="B451" s="86" t="s">
        <v>451</v>
      </c>
      <c r="C451" s="85" t="s">
        <v>18</v>
      </c>
      <c r="D451" s="85" t="s">
        <v>668</v>
      </c>
      <c r="E451" s="85" t="s">
        <v>453</v>
      </c>
      <c r="F451" s="87" t="s">
        <v>631</v>
      </c>
      <c r="G451" s="230">
        <v>100</v>
      </c>
      <c r="H451" s="111">
        <f>450+1507</f>
        <v>1957</v>
      </c>
      <c r="I451" s="88">
        <f t="shared" si="72"/>
        <v>0.05109862033725089</v>
      </c>
      <c r="J451" s="75">
        <f>480+1507</f>
        <v>1987</v>
      </c>
      <c r="K451" s="89">
        <f t="shared" si="73"/>
        <v>0.050327126321087066</v>
      </c>
      <c r="L451" s="75">
        <v>1555.245</v>
      </c>
      <c r="M451" s="89">
        <f t="shared" si="74"/>
        <v>0.0642985510321525</v>
      </c>
    </row>
    <row r="452" spans="1:13" ht="12.75" customHeight="1" thickBot="1">
      <c r="A452" s="108" t="s">
        <v>108</v>
      </c>
      <c r="B452" s="86" t="s">
        <v>451</v>
      </c>
      <c r="C452" s="85" t="s">
        <v>18</v>
      </c>
      <c r="D452" s="85" t="s">
        <v>452</v>
      </c>
      <c r="E452" s="85" t="s">
        <v>453</v>
      </c>
      <c r="F452" s="87" t="s">
        <v>454</v>
      </c>
      <c r="G452" s="230">
        <f>1200-200-250</f>
        <v>750</v>
      </c>
      <c r="H452" s="111">
        <v>120</v>
      </c>
      <c r="I452" s="88">
        <f t="shared" si="72"/>
        <v>6.25</v>
      </c>
      <c r="J452" s="75">
        <v>0</v>
      </c>
      <c r="K452" s="89">
        <f t="shared" si="73"/>
        <v>0</v>
      </c>
      <c r="L452" s="75">
        <v>0</v>
      </c>
      <c r="M452" s="89">
        <f t="shared" si="74"/>
        <v>0</v>
      </c>
    </row>
    <row r="453" spans="1:15" ht="12.75" customHeight="1">
      <c r="A453" s="109"/>
      <c r="B453" s="91" t="s">
        <v>11</v>
      </c>
      <c r="C453" s="90" t="s">
        <v>18</v>
      </c>
      <c r="D453" s="90"/>
      <c r="E453" s="90"/>
      <c r="F453" s="92"/>
      <c r="G453" s="231">
        <f>SUM(G438:G452)</f>
        <v>11500</v>
      </c>
      <c r="H453" s="93">
        <f>SUM(H438:H452)</f>
        <v>15243</v>
      </c>
      <c r="I453" s="94">
        <f t="shared" si="72"/>
        <v>0.7544446631240569</v>
      </c>
      <c r="J453" s="93">
        <f>SUM(J438:J452)</f>
        <v>14601.48</v>
      </c>
      <c r="K453" s="94">
        <f t="shared" si="73"/>
        <v>0.7875913948449061</v>
      </c>
      <c r="L453" s="93">
        <f>SUM(L438:L452)</f>
        <v>11524.514</v>
      </c>
      <c r="M453" s="94">
        <f t="shared" si="74"/>
        <v>0.9978728821015793</v>
      </c>
      <c r="O453" s="80"/>
    </row>
    <row r="454" spans="9:13" ht="12.75" customHeight="1">
      <c r="I454" s="88"/>
      <c r="K454" s="89"/>
      <c r="M454" s="89"/>
    </row>
    <row r="455" spans="1:15" ht="12.75" customHeight="1">
      <c r="A455" s="107"/>
      <c r="B455" s="95" t="s">
        <v>111</v>
      </c>
      <c r="C455" s="81"/>
      <c r="D455" s="81"/>
      <c r="E455" s="81"/>
      <c r="F455" s="96"/>
      <c r="G455" s="232">
        <f>SUM(G453)</f>
        <v>11500</v>
      </c>
      <c r="H455" s="103">
        <f>SUM(H453)</f>
        <v>15243</v>
      </c>
      <c r="I455" s="98">
        <f>IF(H455=0,0,$G455/H455)</f>
        <v>0.7544446631240569</v>
      </c>
      <c r="J455" s="97">
        <f>SUM(J453)</f>
        <v>14601.48</v>
      </c>
      <c r="K455" s="99">
        <f>IF(J455=0,0,$G455/J455)</f>
        <v>0.7875913948449061</v>
      </c>
      <c r="L455" s="97">
        <f>SUM(L453)</f>
        <v>11524.514</v>
      </c>
      <c r="M455" s="99">
        <f>IF(L455=0,0,$G455/L455)</f>
        <v>0.9978728821015793</v>
      </c>
      <c r="O455" s="80"/>
    </row>
    <row r="456" spans="9:13" ht="12.75" customHeight="1">
      <c r="I456" s="88"/>
      <c r="K456" s="89"/>
      <c r="M456" s="89"/>
    </row>
    <row r="457" spans="9:13" ht="12.75" customHeight="1">
      <c r="I457" s="88"/>
      <c r="K457" s="89"/>
      <c r="M457" s="89"/>
    </row>
    <row r="458" spans="1:13" ht="12.75" customHeight="1">
      <c r="A458" s="108" t="s">
        <v>112</v>
      </c>
      <c r="B458" s="86" t="s">
        <v>455</v>
      </c>
      <c r="C458" s="85" t="s">
        <v>456</v>
      </c>
      <c r="D458" s="85" t="s">
        <v>189</v>
      </c>
      <c r="E458" s="85" t="s">
        <v>457</v>
      </c>
      <c r="F458" s="87" t="s">
        <v>318</v>
      </c>
      <c r="G458" s="230">
        <v>100</v>
      </c>
      <c r="H458" s="111">
        <v>0</v>
      </c>
      <c r="I458" s="88">
        <f aca="true" t="shared" si="75" ref="I458:I463">IF(H458=0,0,$G458/H458)</f>
        <v>0</v>
      </c>
      <c r="J458" s="75">
        <v>36</v>
      </c>
      <c r="K458" s="89">
        <f aca="true" t="shared" si="76" ref="K458:K463">IF(J458=0,0,$G458/J458)</f>
        <v>2.7777777777777777</v>
      </c>
      <c r="L458" s="75">
        <v>72</v>
      </c>
      <c r="M458" s="89">
        <f aca="true" t="shared" si="77" ref="M458:M463">IF(L458=0,0,$G458/L458)</f>
        <v>1.3888888888888888</v>
      </c>
    </row>
    <row r="459" spans="1:13" ht="12.75" customHeight="1">
      <c r="A459" s="108" t="s">
        <v>112</v>
      </c>
      <c r="B459" s="86" t="s">
        <v>455</v>
      </c>
      <c r="C459" s="85" t="s">
        <v>456</v>
      </c>
      <c r="D459" s="85" t="s">
        <v>191</v>
      </c>
      <c r="E459" s="85" t="s">
        <v>457</v>
      </c>
      <c r="F459" s="87" t="s">
        <v>458</v>
      </c>
      <c r="G459" s="230">
        <v>10</v>
      </c>
      <c r="H459" s="111">
        <v>300</v>
      </c>
      <c r="I459" s="88">
        <f t="shared" si="75"/>
        <v>0.03333333333333333</v>
      </c>
      <c r="J459" s="75">
        <f>467.37-400+110.904</f>
        <v>178.274</v>
      </c>
      <c r="K459" s="89">
        <f t="shared" si="76"/>
        <v>0.05609342921570167</v>
      </c>
      <c r="L459" s="75">
        <v>81.58</v>
      </c>
      <c r="M459" s="89">
        <f t="shared" si="77"/>
        <v>0.12257906349595489</v>
      </c>
    </row>
    <row r="460" spans="1:13" ht="12.75" customHeight="1">
      <c r="A460" s="108" t="s">
        <v>112</v>
      </c>
      <c r="B460" s="86" t="s">
        <v>455</v>
      </c>
      <c r="C460" s="85" t="s">
        <v>456</v>
      </c>
      <c r="D460" s="85" t="s">
        <v>193</v>
      </c>
      <c r="E460" s="85" t="s">
        <v>457</v>
      </c>
      <c r="F460" s="87" t="s">
        <v>459</v>
      </c>
      <c r="G460" s="230">
        <v>1150</v>
      </c>
      <c r="H460" s="111">
        <v>1170.69</v>
      </c>
      <c r="I460" s="88">
        <f t="shared" si="75"/>
        <v>0.9823266620540023</v>
      </c>
      <c r="J460" s="75">
        <v>12454.32</v>
      </c>
      <c r="K460" s="89">
        <f t="shared" si="76"/>
        <v>0.09233743793318303</v>
      </c>
      <c r="L460" s="75">
        <v>3726.21</v>
      </c>
      <c r="M460" s="89">
        <f t="shared" si="77"/>
        <v>0.30862458100858514</v>
      </c>
    </row>
    <row r="461" spans="1:13" ht="12.75" customHeight="1">
      <c r="A461" s="108" t="s">
        <v>112</v>
      </c>
      <c r="B461" s="86" t="s">
        <v>460</v>
      </c>
      <c r="C461" s="85" t="s">
        <v>456</v>
      </c>
      <c r="D461" s="85" t="s">
        <v>203</v>
      </c>
      <c r="E461" s="85" t="s">
        <v>461</v>
      </c>
      <c r="F461" s="87" t="s">
        <v>462</v>
      </c>
      <c r="G461" s="230">
        <v>740</v>
      </c>
      <c r="H461" s="111">
        <v>708</v>
      </c>
      <c r="I461" s="88">
        <f t="shared" si="75"/>
        <v>1.0451977401129944</v>
      </c>
      <c r="J461" s="75">
        <v>34549.21</v>
      </c>
      <c r="K461" s="89">
        <f t="shared" si="76"/>
        <v>0.021418724190799154</v>
      </c>
      <c r="L461" s="75">
        <v>12871.183</v>
      </c>
      <c r="M461" s="89">
        <f t="shared" si="77"/>
        <v>0.057492772808839715</v>
      </c>
    </row>
    <row r="462" spans="1:13" ht="12.75" customHeight="1" thickBot="1">
      <c r="A462" s="108" t="s">
        <v>112</v>
      </c>
      <c r="B462" s="86" t="s">
        <v>460</v>
      </c>
      <c r="C462" s="85" t="s">
        <v>456</v>
      </c>
      <c r="D462" s="85" t="s">
        <v>349</v>
      </c>
      <c r="E462" s="85" t="s">
        <v>457</v>
      </c>
      <c r="F462" s="87" t="s">
        <v>785</v>
      </c>
      <c r="G462" s="230">
        <v>0</v>
      </c>
      <c r="H462" s="111">
        <v>0</v>
      </c>
      <c r="I462" s="88">
        <f t="shared" si="75"/>
        <v>0</v>
      </c>
      <c r="J462" s="75">
        <v>400</v>
      </c>
      <c r="K462" s="89">
        <f t="shared" si="76"/>
        <v>0</v>
      </c>
      <c r="L462" s="75">
        <v>0</v>
      </c>
      <c r="M462" s="89">
        <f t="shared" si="77"/>
        <v>0</v>
      </c>
    </row>
    <row r="463" spans="1:15" ht="12.75" customHeight="1">
      <c r="A463" s="109"/>
      <c r="B463" s="91" t="s">
        <v>11</v>
      </c>
      <c r="C463" s="90" t="s">
        <v>456</v>
      </c>
      <c r="D463" s="90"/>
      <c r="E463" s="90"/>
      <c r="F463" s="92"/>
      <c r="G463" s="231">
        <f>SUM(G458:G462)</f>
        <v>2000</v>
      </c>
      <c r="H463" s="93">
        <f>SUM(H458:H462)</f>
        <v>2178.69</v>
      </c>
      <c r="I463" s="94">
        <f t="shared" si="75"/>
        <v>0.9179828245413528</v>
      </c>
      <c r="J463" s="93">
        <f>SUM(J458:J462)</f>
        <v>47617.804</v>
      </c>
      <c r="K463" s="94">
        <f t="shared" si="76"/>
        <v>0.04200109690064666</v>
      </c>
      <c r="L463" s="93">
        <f>SUM(L458:L462)</f>
        <v>16750.973</v>
      </c>
      <c r="M463" s="94">
        <f t="shared" si="77"/>
        <v>0.11939604941157746</v>
      </c>
      <c r="O463" s="80"/>
    </row>
    <row r="464" spans="9:13" ht="12.75" customHeight="1">
      <c r="I464" s="88"/>
      <c r="K464" s="89"/>
      <c r="M464" s="89"/>
    </row>
    <row r="465" spans="1:13" ht="12.75" customHeight="1">
      <c r="A465" s="108" t="s">
        <v>112</v>
      </c>
      <c r="B465" s="86" t="s">
        <v>463</v>
      </c>
      <c r="C465" s="85" t="s">
        <v>464</v>
      </c>
      <c r="D465" s="85" t="s">
        <v>227</v>
      </c>
      <c r="E465" s="85" t="s">
        <v>465</v>
      </c>
      <c r="F465" s="87" t="s">
        <v>228</v>
      </c>
      <c r="G465" s="230">
        <v>0</v>
      </c>
      <c r="H465" s="111">
        <v>30</v>
      </c>
      <c r="I465" s="88">
        <f aca="true" t="shared" si="78" ref="I465:I471">IF(H465=0,0,$G465/H465)</f>
        <v>0</v>
      </c>
      <c r="J465" s="75">
        <f>30-30</f>
        <v>0</v>
      </c>
      <c r="K465" s="89">
        <f aca="true" t="shared" si="79" ref="K465:K471">IF(J465=0,0,$G465/J465)</f>
        <v>0</v>
      </c>
      <c r="L465" s="75">
        <v>0</v>
      </c>
      <c r="M465" s="89">
        <f aca="true" t="shared" si="80" ref="M465:M471">IF(L465=0,0,$G465/L465)</f>
        <v>0</v>
      </c>
    </row>
    <row r="466" spans="1:13" ht="12.75" customHeight="1">
      <c r="A466" s="108" t="s">
        <v>112</v>
      </c>
      <c r="B466" s="86" t="s">
        <v>463</v>
      </c>
      <c r="C466" s="85" t="s">
        <v>464</v>
      </c>
      <c r="D466" s="85" t="s">
        <v>289</v>
      </c>
      <c r="E466" s="85" t="s">
        <v>465</v>
      </c>
      <c r="F466" s="87" t="s">
        <v>362</v>
      </c>
      <c r="G466" s="230">
        <v>50</v>
      </c>
      <c r="H466" s="111">
        <v>0</v>
      </c>
      <c r="I466" s="88">
        <f t="shared" si="78"/>
        <v>0</v>
      </c>
      <c r="J466" s="75">
        <v>0</v>
      </c>
      <c r="K466" s="89">
        <f t="shared" si="79"/>
        <v>0</v>
      </c>
      <c r="L466" s="75">
        <v>0</v>
      </c>
      <c r="M466" s="89">
        <f t="shared" si="80"/>
        <v>0</v>
      </c>
    </row>
    <row r="467" spans="1:13" ht="12.75" customHeight="1">
      <c r="A467" s="108" t="s">
        <v>112</v>
      </c>
      <c r="B467" s="86" t="s">
        <v>463</v>
      </c>
      <c r="C467" s="85" t="s">
        <v>464</v>
      </c>
      <c r="D467" s="85" t="s">
        <v>189</v>
      </c>
      <c r="E467" s="85" t="s">
        <v>465</v>
      </c>
      <c r="F467" s="87" t="s">
        <v>318</v>
      </c>
      <c r="G467" s="230">
        <v>100</v>
      </c>
      <c r="H467" s="111">
        <v>254.58</v>
      </c>
      <c r="I467" s="88">
        <f t="shared" si="78"/>
        <v>0.39280383376541755</v>
      </c>
      <c r="J467" s="75">
        <v>254.58</v>
      </c>
      <c r="K467" s="89">
        <f t="shared" si="79"/>
        <v>0.39280383376541755</v>
      </c>
      <c r="L467" s="75">
        <v>100</v>
      </c>
      <c r="M467" s="89">
        <f t="shared" si="80"/>
        <v>1</v>
      </c>
    </row>
    <row r="468" spans="1:13" ht="12.75" customHeight="1">
      <c r="A468" s="108" t="s">
        <v>112</v>
      </c>
      <c r="B468" s="86" t="s">
        <v>466</v>
      </c>
      <c r="C468" s="85" t="s">
        <v>464</v>
      </c>
      <c r="D468" s="85" t="s">
        <v>203</v>
      </c>
      <c r="E468" s="85" t="s">
        <v>467</v>
      </c>
      <c r="F468" s="87" t="s">
        <v>462</v>
      </c>
      <c r="G468" s="230">
        <v>520</v>
      </c>
      <c r="H468" s="111">
        <v>250</v>
      </c>
      <c r="I468" s="88">
        <f t="shared" si="78"/>
        <v>2.08</v>
      </c>
      <c r="J468" s="75">
        <v>350</v>
      </c>
      <c r="K468" s="89">
        <f t="shared" si="79"/>
        <v>1.4857142857142858</v>
      </c>
      <c r="L468" s="75">
        <v>28.837</v>
      </c>
      <c r="M468" s="89">
        <f t="shared" si="80"/>
        <v>18.03238894475847</v>
      </c>
    </row>
    <row r="469" spans="1:13" ht="12.75" customHeight="1">
      <c r="A469" s="108" t="s">
        <v>112</v>
      </c>
      <c r="B469" s="86" t="s">
        <v>466</v>
      </c>
      <c r="C469" s="85" t="s">
        <v>464</v>
      </c>
      <c r="D469" s="85" t="s">
        <v>600</v>
      </c>
      <c r="E469" s="85" t="s">
        <v>467</v>
      </c>
      <c r="F469" s="87" t="s">
        <v>601</v>
      </c>
      <c r="G469" s="230">
        <v>0</v>
      </c>
      <c r="H469" s="111">
        <v>0</v>
      </c>
      <c r="I469" s="88">
        <f t="shared" si="78"/>
        <v>0</v>
      </c>
      <c r="J469" s="75">
        <v>2220</v>
      </c>
      <c r="K469" s="89">
        <f t="shared" si="79"/>
        <v>0</v>
      </c>
      <c r="L469" s="75">
        <v>172</v>
      </c>
      <c r="M469" s="89">
        <f t="shared" si="80"/>
        <v>0</v>
      </c>
    </row>
    <row r="470" spans="1:13" ht="12.75" customHeight="1" thickBot="1">
      <c r="A470" s="108" t="s">
        <v>112</v>
      </c>
      <c r="B470" s="86" t="s">
        <v>463</v>
      </c>
      <c r="C470" s="85" t="s">
        <v>464</v>
      </c>
      <c r="D470" s="85" t="s">
        <v>349</v>
      </c>
      <c r="E470" s="85" t="s">
        <v>465</v>
      </c>
      <c r="F470" s="87" t="s">
        <v>785</v>
      </c>
      <c r="G470" s="230">
        <v>0</v>
      </c>
      <c r="H470" s="111">
        <v>0</v>
      </c>
      <c r="I470" s="88">
        <f>IF(H470=0,0,$G470/H470)</f>
        <v>0</v>
      </c>
      <c r="J470" s="75">
        <v>30</v>
      </c>
      <c r="K470" s="89">
        <f>IF(J470=0,0,$G470/J470)</f>
        <v>0</v>
      </c>
      <c r="L470" s="75">
        <v>0</v>
      </c>
      <c r="M470" s="89">
        <f>IF(L470=0,0,$G470/L470)</f>
        <v>0</v>
      </c>
    </row>
    <row r="471" spans="1:15" ht="12.75" customHeight="1">
      <c r="A471" s="109"/>
      <c r="B471" s="91" t="s">
        <v>11</v>
      </c>
      <c r="C471" s="90" t="s">
        <v>464</v>
      </c>
      <c r="D471" s="90"/>
      <c r="E471" s="90"/>
      <c r="F471" s="92"/>
      <c r="G471" s="231">
        <f>SUM(G465:G470)</f>
        <v>670</v>
      </c>
      <c r="H471" s="93">
        <f>SUM(H465:H470)</f>
        <v>534.58</v>
      </c>
      <c r="I471" s="94">
        <f t="shared" si="78"/>
        <v>1.2533203636499681</v>
      </c>
      <c r="J471" s="93">
        <f>SUM(J465:J470)</f>
        <v>2854.58</v>
      </c>
      <c r="K471" s="94">
        <f t="shared" si="79"/>
        <v>0.23471053535020914</v>
      </c>
      <c r="L471" s="93">
        <f>SUM(L465:L470)</f>
        <v>300.837</v>
      </c>
      <c r="M471" s="94">
        <f t="shared" si="80"/>
        <v>2.2271196694555524</v>
      </c>
      <c r="O471" s="80"/>
    </row>
    <row r="472" spans="9:13" ht="12.75" customHeight="1">
      <c r="I472" s="88"/>
      <c r="K472" s="89"/>
      <c r="M472" s="89"/>
    </row>
    <row r="473" spans="1:13" ht="12.75" customHeight="1">
      <c r="A473" s="108" t="s">
        <v>112</v>
      </c>
      <c r="B473" s="86" t="s">
        <v>468</v>
      </c>
      <c r="C473" s="85" t="s">
        <v>115</v>
      </c>
      <c r="D473" s="85" t="s">
        <v>266</v>
      </c>
      <c r="E473" s="85" t="s">
        <v>469</v>
      </c>
      <c r="F473" s="87" t="s">
        <v>798</v>
      </c>
      <c r="G473" s="230">
        <v>600</v>
      </c>
      <c r="H473" s="111">
        <v>522</v>
      </c>
      <c r="I473" s="88">
        <f aca="true" t="shared" si="81" ref="I473:I493">IF(H473=0,0,$G473/H473)</f>
        <v>1.1494252873563218</v>
      </c>
      <c r="J473" s="75">
        <v>530.23</v>
      </c>
      <c r="K473" s="89">
        <f aca="true" t="shared" si="82" ref="K473:K493">IF(J473=0,0,$G473/J473)</f>
        <v>1.1315844067668748</v>
      </c>
      <c r="L473" s="75">
        <v>540.002</v>
      </c>
      <c r="M473" s="89">
        <f aca="true" t="shared" si="83" ref="M473:M493">IF(L473=0,0,$G473/L473)</f>
        <v>1.1111069959000153</v>
      </c>
    </row>
    <row r="474" spans="1:13" ht="12.75" customHeight="1">
      <c r="A474" s="108" t="s">
        <v>112</v>
      </c>
      <c r="B474" s="86" t="s">
        <v>468</v>
      </c>
      <c r="C474" s="85" t="s">
        <v>115</v>
      </c>
      <c r="D474" s="85" t="s">
        <v>217</v>
      </c>
      <c r="E474" s="85" t="s">
        <v>487</v>
      </c>
      <c r="F474" s="87" t="s">
        <v>338</v>
      </c>
      <c r="G474" s="230">
        <v>0</v>
      </c>
      <c r="H474" s="111">
        <v>0</v>
      </c>
      <c r="I474" s="88">
        <f t="shared" si="81"/>
        <v>0</v>
      </c>
      <c r="J474" s="75">
        <v>0</v>
      </c>
      <c r="K474" s="89">
        <f t="shared" si="82"/>
        <v>0</v>
      </c>
      <c r="L474" s="75">
        <v>22.5</v>
      </c>
      <c r="M474" s="89">
        <f t="shared" si="83"/>
        <v>0</v>
      </c>
    </row>
    <row r="475" spans="1:13" ht="12.75" customHeight="1">
      <c r="A475" s="108" t="s">
        <v>112</v>
      </c>
      <c r="B475" s="86" t="s">
        <v>468</v>
      </c>
      <c r="C475" s="85" t="s">
        <v>115</v>
      </c>
      <c r="D475" s="85" t="s">
        <v>220</v>
      </c>
      <c r="E475" s="85" t="s">
        <v>469</v>
      </c>
      <c r="F475" s="87" t="s">
        <v>470</v>
      </c>
      <c r="G475" s="230">
        <v>150</v>
      </c>
      <c r="H475" s="111">
        <v>130</v>
      </c>
      <c r="I475" s="88">
        <f t="shared" si="81"/>
        <v>1.1538461538461537</v>
      </c>
      <c r="J475" s="75">
        <v>132.05</v>
      </c>
      <c r="K475" s="89">
        <f t="shared" si="82"/>
        <v>1.1359333585762967</v>
      </c>
      <c r="L475" s="75">
        <v>140.629</v>
      </c>
      <c r="M475" s="89">
        <f t="shared" si="83"/>
        <v>1.066636326788927</v>
      </c>
    </row>
    <row r="476" spans="1:13" ht="12.75" customHeight="1">
      <c r="A476" s="108" t="s">
        <v>112</v>
      </c>
      <c r="B476" s="86" t="s">
        <v>468</v>
      </c>
      <c r="C476" s="85" t="s">
        <v>115</v>
      </c>
      <c r="D476" s="85" t="s">
        <v>222</v>
      </c>
      <c r="E476" s="85" t="s">
        <v>469</v>
      </c>
      <c r="F476" s="87" t="s">
        <v>471</v>
      </c>
      <c r="G476" s="230">
        <v>54</v>
      </c>
      <c r="H476" s="111">
        <v>47</v>
      </c>
      <c r="I476" s="88">
        <f t="shared" si="81"/>
        <v>1.148936170212766</v>
      </c>
      <c r="J476" s="75">
        <v>47.74</v>
      </c>
      <c r="K476" s="89">
        <f t="shared" si="82"/>
        <v>1.1311269375785504</v>
      </c>
      <c r="L476" s="75">
        <v>50.625</v>
      </c>
      <c r="M476" s="89">
        <f t="shared" si="83"/>
        <v>1.0666666666666667</v>
      </c>
    </row>
    <row r="477" spans="1:13" ht="12.75" customHeight="1">
      <c r="A477" s="108" t="s">
        <v>112</v>
      </c>
      <c r="B477" s="86" t="s">
        <v>468</v>
      </c>
      <c r="C477" s="85" t="s">
        <v>115</v>
      </c>
      <c r="D477" s="85" t="s">
        <v>211</v>
      </c>
      <c r="E477" s="85" t="s">
        <v>469</v>
      </c>
      <c r="F477" s="87" t="s">
        <v>224</v>
      </c>
      <c r="G477" s="230">
        <v>10</v>
      </c>
      <c r="H477" s="111">
        <v>5</v>
      </c>
      <c r="I477" s="88">
        <f t="shared" si="81"/>
        <v>2</v>
      </c>
      <c r="J477" s="75">
        <v>5</v>
      </c>
      <c r="K477" s="89">
        <f t="shared" si="82"/>
        <v>2</v>
      </c>
      <c r="L477" s="75">
        <v>4.409</v>
      </c>
      <c r="M477" s="89">
        <f t="shared" si="83"/>
        <v>2.2680880018144705</v>
      </c>
    </row>
    <row r="478" spans="1:13" ht="12.75" customHeight="1">
      <c r="A478" s="108" t="s">
        <v>112</v>
      </c>
      <c r="B478" s="86" t="s">
        <v>468</v>
      </c>
      <c r="C478" s="85" t="s">
        <v>115</v>
      </c>
      <c r="D478" s="85" t="s">
        <v>225</v>
      </c>
      <c r="E478" s="85" t="s">
        <v>469</v>
      </c>
      <c r="F478" s="87" t="s">
        <v>472</v>
      </c>
      <c r="G478" s="230">
        <v>20</v>
      </c>
      <c r="H478" s="111">
        <v>20</v>
      </c>
      <c r="I478" s="88">
        <f t="shared" si="81"/>
        <v>1</v>
      </c>
      <c r="J478" s="75">
        <v>20</v>
      </c>
      <c r="K478" s="89">
        <f t="shared" si="82"/>
        <v>1</v>
      </c>
      <c r="L478" s="75">
        <v>0</v>
      </c>
      <c r="M478" s="89">
        <f t="shared" si="83"/>
        <v>0</v>
      </c>
    </row>
    <row r="479" spans="1:13" ht="12.75" customHeight="1">
      <c r="A479" s="108" t="s">
        <v>112</v>
      </c>
      <c r="B479" s="86" t="s">
        <v>468</v>
      </c>
      <c r="C479" s="85" t="s">
        <v>115</v>
      </c>
      <c r="D479" s="85" t="s">
        <v>227</v>
      </c>
      <c r="E479" s="85" t="s">
        <v>469</v>
      </c>
      <c r="F479" s="87" t="s">
        <v>473</v>
      </c>
      <c r="G479" s="230">
        <v>20</v>
      </c>
      <c r="H479" s="111">
        <v>10</v>
      </c>
      <c r="I479" s="88">
        <f t="shared" si="81"/>
        <v>2</v>
      </c>
      <c r="J479" s="75">
        <v>10</v>
      </c>
      <c r="K479" s="89">
        <f t="shared" si="82"/>
        <v>2</v>
      </c>
      <c r="L479" s="75">
        <v>3.138</v>
      </c>
      <c r="M479" s="89">
        <f t="shared" si="83"/>
        <v>6.373486297004462</v>
      </c>
    </row>
    <row r="480" spans="1:13" ht="12.75" customHeight="1">
      <c r="A480" s="108" t="s">
        <v>112</v>
      </c>
      <c r="B480" s="86" t="s">
        <v>468</v>
      </c>
      <c r="C480" s="85" t="s">
        <v>115</v>
      </c>
      <c r="D480" s="85" t="s">
        <v>176</v>
      </c>
      <c r="E480" s="85" t="s">
        <v>469</v>
      </c>
      <c r="F480" s="87" t="s">
        <v>229</v>
      </c>
      <c r="G480" s="230">
        <v>430</v>
      </c>
      <c r="H480" s="111">
        <v>430</v>
      </c>
      <c r="I480" s="88">
        <f t="shared" si="81"/>
        <v>1</v>
      </c>
      <c r="J480" s="75">
        <f>430-200+19.224</f>
        <v>249.224</v>
      </c>
      <c r="K480" s="89">
        <f t="shared" si="82"/>
        <v>1.7253555034828107</v>
      </c>
      <c r="L480" s="75">
        <v>236.817</v>
      </c>
      <c r="M480" s="89">
        <f t="shared" si="83"/>
        <v>1.8157480248461892</v>
      </c>
    </row>
    <row r="481" spans="1:13" ht="12.75" customHeight="1">
      <c r="A481" s="108" t="s">
        <v>112</v>
      </c>
      <c r="B481" s="86" t="s">
        <v>468</v>
      </c>
      <c r="C481" s="85" t="s">
        <v>115</v>
      </c>
      <c r="D481" s="85" t="s">
        <v>179</v>
      </c>
      <c r="E481" s="85" t="s">
        <v>469</v>
      </c>
      <c r="F481" s="87" t="s">
        <v>180</v>
      </c>
      <c r="G481" s="230">
        <v>2000</v>
      </c>
      <c r="H481" s="111">
        <v>2591</v>
      </c>
      <c r="I481" s="88">
        <f t="shared" si="81"/>
        <v>0.7719027402547279</v>
      </c>
      <c r="J481" s="75">
        <f>2591-400</f>
        <v>2191</v>
      </c>
      <c r="K481" s="89">
        <f t="shared" si="82"/>
        <v>0.9128251939753537</v>
      </c>
      <c r="L481" s="75">
        <v>1721.859</v>
      </c>
      <c r="M481" s="89">
        <f t="shared" si="83"/>
        <v>1.1615352941210635</v>
      </c>
    </row>
    <row r="482" spans="1:13" ht="12.75" customHeight="1">
      <c r="A482" s="108" t="s">
        <v>112</v>
      </c>
      <c r="B482" s="86" t="s">
        <v>468</v>
      </c>
      <c r="C482" s="85" t="s">
        <v>115</v>
      </c>
      <c r="D482" s="85" t="s">
        <v>183</v>
      </c>
      <c r="E482" s="85" t="s">
        <v>469</v>
      </c>
      <c r="F482" s="87" t="s">
        <v>184</v>
      </c>
      <c r="G482" s="230">
        <v>300</v>
      </c>
      <c r="H482" s="111">
        <v>300</v>
      </c>
      <c r="I482" s="88">
        <f t="shared" si="81"/>
        <v>1</v>
      </c>
      <c r="J482" s="75">
        <v>300</v>
      </c>
      <c r="K482" s="89">
        <f t="shared" si="82"/>
        <v>1</v>
      </c>
      <c r="L482" s="75">
        <v>254.444</v>
      </c>
      <c r="M482" s="89">
        <f t="shared" si="83"/>
        <v>1.1790413607709358</v>
      </c>
    </row>
    <row r="483" spans="1:13" ht="12.75" customHeight="1">
      <c r="A483" s="108" t="s">
        <v>112</v>
      </c>
      <c r="B483" s="86" t="s">
        <v>468</v>
      </c>
      <c r="C483" s="85" t="s">
        <v>115</v>
      </c>
      <c r="D483" s="85" t="s">
        <v>233</v>
      </c>
      <c r="E483" s="85" t="s">
        <v>469</v>
      </c>
      <c r="F483" s="87" t="s">
        <v>234</v>
      </c>
      <c r="G483" s="230">
        <v>40</v>
      </c>
      <c r="H483" s="111">
        <v>30</v>
      </c>
      <c r="I483" s="88">
        <f t="shared" si="81"/>
        <v>1.3333333333333333</v>
      </c>
      <c r="J483" s="75">
        <v>30</v>
      </c>
      <c r="K483" s="89">
        <f t="shared" si="82"/>
        <v>1.3333333333333333</v>
      </c>
      <c r="L483" s="75">
        <v>27.214</v>
      </c>
      <c r="M483" s="89">
        <f t="shared" si="83"/>
        <v>1.4698317042698612</v>
      </c>
    </row>
    <row r="484" spans="1:13" ht="12.75" customHeight="1">
      <c r="A484" s="108" t="s">
        <v>112</v>
      </c>
      <c r="B484" s="86" t="s">
        <v>468</v>
      </c>
      <c r="C484" s="85" t="s">
        <v>115</v>
      </c>
      <c r="D484" s="85" t="s">
        <v>187</v>
      </c>
      <c r="E484" s="85" t="s">
        <v>469</v>
      </c>
      <c r="F484" s="87" t="s">
        <v>235</v>
      </c>
      <c r="G484" s="230">
        <v>30</v>
      </c>
      <c r="H484" s="111">
        <v>20</v>
      </c>
      <c r="I484" s="88">
        <f t="shared" si="81"/>
        <v>1.5</v>
      </c>
      <c r="J484" s="75">
        <v>20</v>
      </c>
      <c r="K484" s="89">
        <f t="shared" si="82"/>
        <v>1.5</v>
      </c>
      <c r="L484" s="75">
        <v>16.742</v>
      </c>
      <c r="M484" s="89">
        <f t="shared" si="83"/>
        <v>1.791900609246207</v>
      </c>
    </row>
    <row r="485" spans="1:13" ht="12.75" customHeight="1">
      <c r="A485" s="108" t="s">
        <v>112</v>
      </c>
      <c r="B485" s="86" t="s">
        <v>468</v>
      </c>
      <c r="C485" s="85" t="s">
        <v>115</v>
      </c>
      <c r="D485" s="85" t="s">
        <v>189</v>
      </c>
      <c r="E485" s="85" t="s">
        <v>469</v>
      </c>
      <c r="F485" s="87" t="s">
        <v>318</v>
      </c>
      <c r="G485" s="230">
        <v>60</v>
      </c>
      <c r="H485" s="111">
        <v>60</v>
      </c>
      <c r="I485" s="88">
        <f t="shared" si="81"/>
        <v>1</v>
      </c>
      <c r="J485" s="75">
        <f>60-60</f>
        <v>0</v>
      </c>
      <c r="K485" s="89">
        <f t="shared" si="82"/>
        <v>0</v>
      </c>
      <c r="L485" s="75">
        <v>0</v>
      </c>
      <c r="M485" s="89">
        <f t="shared" si="83"/>
        <v>0</v>
      </c>
    </row>
    <row r="486" spans="1:13" ht="12.75" customHeight="1">
      <c r="A486" s="108" t="s">
        <v>112</v>
      </c>
      <c r="B486" s="86" t="s">
        <v>468</v>
      </c>
      <c r="C486" s="85" t="s">
        <v>115</v>
      </c>
      <c r="D486" s="85" t="s">
        <v>191</v>
      </c>
      <c r="E486" s="85" t="s">
        <v>469</v>
      </c>
      <c r="F486" s="87" t="s">
        <v>238</v>
      </c>
      <c r="G486" s="230">
        <v>1300</v>
      </c>
      <c r="H486" s="111">
        <v>1320</v>
      </c>
      <c r="I486" s="88">
        <f t="shared" si="81"/>
        <v>0.9848484848484849</v>
      </c>
      <c r="J486" s="75">
        <v>1318</v>
      </c>
      <c r="K486" s="89">
        <f t="shared" si="82"/>
        <v>0.9863429438543247</v>
      </c>
      <c r="L486" s="75">
        <v>882.164</v>
      </c>
      <c r="M486" s="89">
        <f t="shared" si="83"/>
        <v>1.473648890682458</v>
      </c>
    </row>
    <row r="487" spans="1:13" ht="12.75" customHeight="1">
      <c r="A487" s="108" t="s">
        <v>112</v>
      </c>
      <c r="B487" s="86" t="s">
        <v>468</v>
      </c>
      <c r="C487" s="85" t="s">
        <v>115</v>
      </c>
      <c r="D487" s="85" t="s">
        <v>193</v>
      </c>
      <c r="E487" s="85" t="s">
        <v>469</v>
      </c>
      <c r="F487" s="87" t="s">
        <v>459</v>
      </c>
      <c r="G487" s="230">
        <v>1330</v>
      </c>
      <c r="H487" s="111">
        <v>1144</v>
      </c>
      <c r="I487" s="88">
        <f t="shared" si="81"/>
        <v>1.1625874125874125</v>
      </c>
      <c r="J487" s="75">
        <v>2364</v>
      </c>
      <c r="K487" s="89">
        <f t="shared" si="82"/>
        <v>0.562605752961083</v>
      </c>
      <c r="L487" s="75">
        <v>654.765</v>
      </c>
      <c r="M487" s="89">
        <f t="shared" si="83"/>
        <v>2.0312631249379547</v>
      </c>
    </row>
    <row r="488" spans="1:13" ht="12.75" customHeight="1">
      <c r="A488" s="108" t="s">
        <v>112</v>
      </c>
      <c r="B488" s="86" t="s">
        <v>468</v>
      </c>
      <c r="C488" s="85" t="s">
        <v>115</v>
      </c>
      <c r="D488" s="85" t="s">
        <v>295</v>
      </c>
      <c r="E488" s="85" t="s">
        <v>469</v>
      </c>
      <c r="F488" s="87" t="s">
        <v>474</v>
      </c>
      <c r="G488" s="230">
        <v>500</v>
      </c>
      <c r="H488" s="111">
        <v>475</v>
      </c>
      <c r="I488" s="88">
        <f t="shared" si="81"/>
        <v>1.0526315789473684</v>
      </c>
      <c r="J488" s="75">
        <v>475</v>
      </c>
      <c r="K488" s="89">
        <f t="shared" si="82"/>
        <v>1.0526315789473684</v>
      </c>
      <c r="L488" s="75">
        <v>396.73</v>
      </c>
      <c r="M488" s="89">
        <f t="shared" si="83"/>
        <v>1.2603029768356313</v>
      </c>
    </row>
    <row r="489" spans="1:13" ht="12.75" customHeight="1">
      <c r="A489" s="108" t="s">
        <v>112</v>
      </c>
      <c r="B489" s="86" t="s">
        <v>468</v>
      </c>
      <c r="C489" s="85" t="s">
        <v>115</v>
      </c>
      <c r="D489" s="85" t="s">
        <v>349</v>
      </c>
      <c r="E489" s="85" t="s">
        <v>469</v>
      </c>
      <c r="F489" s="87" t="s">
        <v>475</v>
      </c>
      <c r="G489" s="230">
        <v>70</v>
      </c>
      <c r="H489" s="111">
        <v>0</v>
      </c>
      <c r="I489" s="88">
        <f t="shared" si="81"/>
        <v>0</v>
      </c>
      <c r="J489" s="75">
        <v>0</v>
      </c>
      <c r="K489" s="89">
        <f t="shared" si="82"/>
        <v>0</v>
      </c>
      <c r="L489" s="75">
        <v>0</v>
      </c>
      <c r="M489" s="89">
        <f t="shared" si="83"/>
        <v>0</v>
      </c>
    </row>
    <row r="490" spans="1:13" ht="12.75" customHeight="1">
      <c r="A490" s="108" t="s">
        <v>112</v>
      </c>
      <c r="B490" s="86" t="s">
        <v>476</v>
      </c>
      <c r="C490" s="85" t="s">
        <v>115</v>
      </c>
      <c r="D490" s="85" t="s">
        <v>203</v>
      </c>
      <c r="E490" s="85" t="s">
        <v>477</v>
      </c>
      <c r="F490" s="87" t="s">
        <v>462</v>
      </c>
      <c r="G490" s="230">
        <v>310</v>
      </c>
      <c r="H490" s="111">
        <v>2053</v>
      </c>
      <c r="I490" s="88">
        <f t="shared" si="81"/>
        <v>0.1509985387238188</v>
      </c>
      <c r="J490" s="75">
        <v>2670.48</v>
      </c>
      <c r="K490" s="89">
        <f t="shared" si="82"/>
        <v>0.11608399988017136</v>
      </c>
      <c r="L490" s="75">
        <v>451.739</v>
      </c>
      <c r="M490" s="89">
        <f t="shared" si="83"/>
        <v>0.6862369642647635</v>
      </c>
    </row>
    <row r="491" spans="1:13" ht="12.75" customHeight="1">
      <c r="A491" s="108" t="s">
        <v>112</v>
      </c>
      <c r="B491" s="86" t="s">
        <v>476</v>
      </c>
      <c r="C491" s="85" t="s">
        <v>115</v>
      </c>
      <c r="D491" s="85" t="s">
        <v>478</v>
      </c>
      <c r="E491" s="85" t="s">
        <v>477</v>
      </c>
      <c r="F491" s="87" t="s">
        <v>479</v>
      </c>
      <c r="G491" s="230">
        <v>100</v>
      </c>
      <c r="H491" s="111">
        <v>0</v>
      </c>
      <c r="I491" s="88">
        <f t="shared" si="81"/>
        <v>0</v>
      </c>
      <c r="J491" s="75">
        <v>135.01</v>
      </c>
      <c r="K491" s="89">
        <f t="shared" si="82"/>
        <v>0.7406858751203615</v>
      </c>
      <c r="L491" s="75">
        <v>0</v>
      </c>
      <c r="M491" s="89">
        <f t="shared" si="83"/>
        <v>0</v>
      </c>
    </row>
    <row r="492" spans="1:13" ht="12.75" customHeight="1" thickBot="1">
      <c r="A492" s="108" t="s">
        <v>112</v>
      </c>
      <c r="B492" s="86" t="s">
        <v>468</v>
      </c>
      <c r="C492" s="85" t="s">
        <v>115</v>
      </c>
      <c r="D492" s="85" t="s">
        <v>349</v>
      </c>
      <c r="E492" s="85" t="s">
        <v>469</v>
      </c>
      <c r="F492" s="87" t="s">
        <v>785</v>
      </c>
      <c r="G492" s="230">
        <v>0</v>
      </c>
      <c r="H492" s="111">
        <v>0</v>
      </c>
      <c r="I492" s="88">
        <f>IF(H492=0,0,$G492/H492)</f>
        <v>0</v>
      </c>
      <c r="J492" s="75">
        <f>660-19.224</f>
        <v>640.776</v>
      </c>
      <c r="K492" s="89">
        <f>IF(J492=0,0,$G492/J492)</f>
        <v>0</v>
      </c>
      <c r="L492" s="75">
        <v>0</v>
      </c>
      <c r="M492" s="89">
        <f>IF(L492=0,0,$G492/L492)</f>
        <v>0</v>
      </c>
    </row>
    <row r="493" spans="1:15" ht="12.75" customHeight="1">
      <c r="A493" s="109"/>
      <c r="B493" s="91" t="s">
        <v>11</v>
      </c>
      <c r="C493" s="90" t="s">
        <v>115</v>
      </c>
      <c r="D493" s="90"/>
      <c r="E493" s="90"/>
      <c r="F493" s="92"/>
      <c r="G493" s="231">
        <f aca="true" t="shared" si="84" ref="G493:L493">SUM(G473:G492)</f>
        <v>7324</v>
      </c>
      <c r="H493" s="93">
        <f t="shared" si="84"/>
        <v>9157</v>
      </c>
      <c r="I493" s="94">
        <f t="shared" si="81"/>
        <v>0.7998252702850278</v>
      </c>
      <c r="J493" s="93">
        <f t="shared" si="84"/>
        <v>11138.51</v>
      </c>
      <c r="K493" s="94">
        <f t="shared" si="82"/>
        <v>0.657538575626363</v>
      </c>
      <c r="L493" s="93">
        <f t="shared" si="84"/>
        <v>5403.777</v>
      </c>
      <c r="M493" s="94">
        <f t="shared" si="83"/>
        <v>1.3553483054537594</v>
      </c>
      <c r="O493" s="80"/>
    </row>
    <row r="494" spans="9:13" ht="12.75" customHeight="1">
      <c r="I494" s="88"/>
      <c r="K494" s="89"/>
      <c r="M494" s="89"/>
    </row>
    <row r="495" spans="1:13" ht="12.75" customHeight="1">
      <c r="A495" s="108" t="s">
        <v>112</v>
      </c>
      <c r="B495" s="86" t="s">
        <v>480</v>
      </c>
      <c r="C495" s="85" t="s">
        <v>118</v>
      </c>
      <c r="D495" s="85" t="s">
        <v>266</v>
      </c>
      <c r="E495" s="85" t="s">
        <v>481</v>
      </c>
      <c r="F495" s="87" t="s">
        <v>799</v>
      </c>
      <c r="G495" s="230">
        <v>600</v>
      </c>
      <c r="H495" s="111">
        <v>390</v>
      </c>
      <c r="I495" s="88">
        <f aca="true" t="shared" si="85" ref="I495:I512">IF(H495=0,0,$G495/H495)</f>
        <v>1.5384615384615385</v>
      </c>
      <c r="J495" s="75">
        <v>396.15</v>
      </c>
      <c r="K495" s="89">
        <f aca="true" t="shared" si="86" ref="K495:K512">IF(J495=0,0,$G495/J495)</f>
        <v>1.5145778114350625</v>
      </c>
      <c r="L495" s="75">
        <v>316.263</v>
      </c>
      <c r="M495" s="89">
        <f aca="true" t="shared" si="87" ref="M495:M512">IF(L495=0,0,$G495/L495)</f>
        <v>1.897155215753977</v>
      </c>
    </row>
    <row r="496" spans="1:13" ht="12.75" customHeight="1">
      <c r="A496" s="108" t="s">
        <v>112</v>
      </c>
      <c r="B496" s="86" t="s">
        <v>480</v>
      </c>
      <c r="C496" s="85" t="s">
        <v>118</v>
      </c>
      <c r="D496" s="85" t="s">
        <v>217</v>
      </c>
      <c r="E496" s="85" t="s">
        <v>487</v>
      </c>
      <c r="F496" s="87" t="s">
        <v>338</v>
      </c>
      <c r="G496" s="230">
        <v>0</v>
      </c>
      <c r="H496" s="111">
        <v>150</v>
      </c>
      <c r="I496" s="88">
        <f t="shared" si="85"/>
        <v>0</v>
      </c>
      <c r="J496" s="75">
        <v>150</v>
      </c>
      <c r="K496" s="89">
        <f t="shared" si="86"/>
        <v>0</v>
      </c>
      <c r="L496" s="75">
        <v>73.491</v>
      </c>
      <c r="M496" s="89">
        <f t="shared" si="87"/>
        <v>0</v>
      </c>
    </row>
    <row r="497" spans="1:13" ht="12.75" customHeight="1">
      <c r="A497" s="108" t="s">
        <v>112</v>
      </c>
      <c r="B497" s="86" t="s">
        <v>480</v>
      </c>
      <c r="C497" s="85" t="s">
        <v>118</v>
      </c>
      <c r="D497" s="85" t="s">
        <v>220</v>
      </c>
      <c r="E497" s="85" t="s">
        <v>481</v>
      </c>
      <c r="F497" s="87" t="s">
        <v>470</v>
      </c>
      <c r="G497" s="230">
        <v>150</v>
      </c>
      <c r="H497" s="111">
        <v>97</v>
      </c>
      <c r="I497" s="88">
        <f t="shared" si="85"/>
        <v>1.5463917525773196</v>
      </c>
      <c r="J497" s="75">
        <v>98.53</v>
      </c>
      <c r="K497" s="89">
        <f t="shared" si="86"/>
        <v>1.5223789708718156</v>
      </c>
      <c r="L497" s="75">
        <v>116.59</v>
      </c>
      <c r="M497" s="89">
        <f t="shared" si="87"/>
        <v>1.286559739257226</v>
      </c>
    </row>
    <row r="498" spans="1:13" ht="12.75" customHeight="1">
      <c r="A498" s="108" t="s">
        <v>112</v>
      </c>
      <c r="B498" s="86" t="s">
        <v>480</v>
      </c>
      <c r="C498" s="85" t="s">
        <v>118</v>
      </c>
      <c r="D498" s="85" t="s">
        <v>222</v>
      </c>
      <c r="E498" s="85" t="s">
        <v>481</v>
      </c>
      <c r="F498" s="87" t="s">
        <v>471</v>
      </c>
      <c r="G498" s="230">
        <v>54</v>
      </c>
      <c r="H498" s="111">
        <v>35</v>
      </c>
      <c r="I498" s="88">
        <f t="shared" si="85"/>
        <v>1.542857142857143</v>
      </c>
      <c r="J498" s="75">
        <v>35.55</v>
      </c>
      <c r="K498" s="89">
        <f t="shared" si="86"/>
        <v>1.518987341772152</v>
      </c>
      <c r="L498" s="75">
        <v>41.972</v>
      </c>
      <c r="M498" s="89">
        <f t="shared" si="87"/>
        <v>1.2865720003812064</v>
      </c>
    </row>
    <row r="499" spans="1:13" ht="12.75" customHeight="1">
      <c r="A499" s="108" t="s">
        <v>112</v>
      </c>
      <c r="B499" s="86" t="s">
        <v>480</v>
      </c>
      <c r="C499" s="85" t="s">
        <v>118</v>
      </c>
      <c r="D499" s="85" t="s">
        <v>211</v>
      </c>
      <c r="E499" s="85" t="s">
        <v>481</v>
      </c>
      <c r="F499" s="87" t="s">
        <v>224</v>
      </c>
      <c r="G499" s="230">
        <v>5</v>
      </c>
      <c r="H499" s="111">
        <v>5</v>
      </c>
      <c r="I499" s="88">
        <f t="shared" si="85"/>
        <v>1</v>
      </c>
      <c r="J499" s="75">
        <v>5</v>
      </c>
      <c r="K499" s="89">
        <f t="shared" si="86"/>
        <v>1</v>
      </c>
      <c r="L499" s="75">
        <v>4.608</v>
      </c>
      <c r="M499" s="89">
        <f t="shared" si="87"/>
        <v>1.0850694444444444</v>
      </c>
    </row>
    <row r="500" spans="1:13" ht="12.75" customHeight="1">
      <c r="A500" s="108" t="s">
        <v>112</v>
      </c>
      <c r="B500" s="86" t="s">
        <v>480</v>
      </c>
      <c r="C500" s="85" t="s">
        <v>118</v>
      </c>
      <c r="D500" s="85" t="s">
        <v>227</v>
      </c>
      <c r="E500" s="85" t="s">
        <v>481</v>
      </c>
      <c r="F500" s="87" t="s">
        <v>473</v>
      </c>
      <c r="G500" s="230">
        <v>0</v>
      </c>
      <c r="H500" s="111">
        <v>0</v>
      </c>
      <c r="I500" s="88">
        <f t="shared" si="85"/>
        <v>0</v>
      </c>
      <c r="J500" s="75">
        <v>5.77</v>
      </c>
      <c r="K500" s="89">
        <f t="shared" si="86"/>
        <v>0</v>
      </c>
      <c r="L500" s="75">
        <v>5.77</v>
      </c>
      <c r="M500" s="89">
        <f t="shared" si="87"/>
        <v>0</v>
      </c>
    </row>
    <row r="501" spans="1:13" ht="12.75" customHeight="1">
      <c r="A501" s="108" t="s">
        <v>112</v>
      </c>
      <c r="B501" s="86" t="s">
        <v>480</v>
      </c>
      <c r="C501" s="85" t="s">
        <v>118</v>
      </c>
      <c r="D501" s="85" t="s">
        <v>176</v>
      </c>
      <c r="E501" s="85" t="s">
        <v>481</v>
      </c>
      <c r="F501" s="87" t="s">
        <v>482</v>
      </c>
      <c r="G501" s="230">
        <v>200</v>
      </c>
      <c r="H501" s="111">
        <v>35</v>
      </c>
      <c r="I501" s="88">
        <f t="shared" si="85"/>
        <v>5.714285714285714</v>
      </c>
      <c r="J501" s="75">
        <v>185</v>
      </c>
      <c r="K501" s="89">
        <f t="shared" si="86"/>
        <v>1.0810810810810811</v>
      </c>
      <c r="L501" s="75">
        <v>148.622</v>
      </c>
      <c r="M501" s="89">
        <f t="shared" si="87"/>
        <v>1.3456957920092583</v>
      </c>
    </row>
    <row r="502" spans="1:13" ht="12.75" customHeight="1">
      <c r="A502" s="108" t="s">
        <v>112</v>
      </c>
      <c r="B502" s="86" t="s">
        <v>480</v>
      </c>
      <c r="C502" s="85" t="s">
        <v>118</v>
      </c>
      <c r="D502" s="85" t="s">
        <v>183</v>
      </c>
      <c r="E502" s="85" t="s">
        <v>481</v>
      </c>
      <c r="F502" s="87" t="s">
        <v>184</v>
      </c>
      <c r="G502" s="230">
        <v>1500</v>
      </c>
      <c r="H502" s="111">
        <v>1500</v>
      </c>
      <c r="I502" s="88">
        <f t="shared" si="85"/>
        <v>1</v>
      </c>
      <c r="J502" s="75">
        <v>1500</v>
      </c>
      <c r="K502" s="89">
        <f t="shared" si="86"/>
        <v>1</v>
      </c>
      <c r="L502" s="75">
        <v>1269.379</v>
      </c>
      <c r="M502" s="89">
        <f t="shared" si="87"/>
        <v>1.1816801758970332</v>
      </c>
    </row>
    <row r="503" spans="1:13" ht="12.75" customHeight="1">
      <c r="A503" s="108" t="s">
        <v>112</v>
      </c>
      <c r="B503" s="86" t="s">
        <v>480</v>
      </c>
      <c r="C503" s="85" t="s">
        <v>118</v>
      </c>
      <c r="D503" s="85" t="s">
        <v>233</v>
      </c>
      <c r="E503" s="85" t="s">
        <v>481</v>
      </c>
      <c r="F503" s="87" t="s">
        <v>483</v>
      </c>
      <c r="G503" s="230">
        <v>0</v>
      </c>
      <c r="H503" s="111">
        <v>10</v>
      </c>
      <c r="I503" s="88">
        <f t="shared" si="85"/>
        <v>0</v>
      </c>
      <c r="J503" s="75">
        <f>10-10</f>
        <v>0</v>
      </c>
      <c r="K503" s="89">
        <f t="shared" si="86"/>
        <v>0</v>
      </c>
      <c r="L503" s="75">
        <v>0</v>
      </c>
      <c r="M503" s="89">
        <f t="shared" si="87"/>
        <v>0</v>
      </c>
    </row>
    <row r="504" spans="1:13" ht="12.75" customHeight="1">
      <c r="A504" s="108" t="s">
        <v>112</v>
      </c>
      <c r="B504" s="86" t="s">
        <v>480</v>
      </c>
      <c r="C504" s="85" t="s">
        <v>118</v>
      </c>
      <c r="D504" s="85" t="s">
        <v>187</v>
      </c>
      <c r="E504" s="85" t="s">
        <v>481</v>
      </c>
      <c r="F504" s="87" t="s">
        <v>235</v>
      </c>
      <c r="G504" s="230">
        <v>20</v>
      </c>
      <c r="H504" s="111">
        <v>12</v>
      </c>
      <c r="I504" s="88">
        <f t="shared" si="85"/>
        <v>1.6666666666666667</v>
      </c>
      <c r="J504" s="75">
        <v>15</v>
      </c>
      <c r="K504" s="89">
        <f t="shared" si="86"/>
        <v>1.3333333333333333</v>
      </c>
      <c r="L504" s="75">
        <v>12.293</v>
      </c>
      <c r="M504" s="89">
        <f t="shared" si="87"/>
        <v>1.6269421622061337</v>
      </c>
    </row>
    <row r="505" spans="1:13" ht="12.75" customHeight="1">
      <c r="A505" s="108" t="s">
        <v>112</v>
      </c>
      <c r="B505" s="86" t="s">
        <v>480</v>
      </c>
      <c r="C505" s="85" t="s">
        <v>118</v>
      </c>
      <c r="D505" s="85" t="s">
        <v>189</v>
      </c>
      <c r="E505" s="85" t="s">
        <v>481</v>
      </c>
      <c r="F505" s="87" t="s">
        <v>318</v>
      </c>
      <c r="G505" s="230">
        <v>50</v>
      </c>
      <c r="H505" s="111">
        <v>30</v>
      </c>
      <c r="I505" s="88">
        <f t="shared" si="85"/>
        <v>1.6666666666666667</v>
      </c>
      <c r="J505" s="75">
        <v>30</v>
      </c>
      <c r="K505" s="89">
        <f t="shared" si="86"/>
        <v>1.6666666666666667</v>
      </c>
      <c r="L505" s="75">
        <v>64.598</v>
      </c>
      <c r="M505" s="89">
        <f t="shared" si="87"/>
        <v>0.7740177714480324</v>
      </c>
    </row>
    <row r="506" spans="1:13" ht="12.75" customHeight="1">
      <c r="A506" s="108" t="s">
        <v>112</v>
      </c>
      <c r="B506" s="86" t="s">
        <v>480</v>
      </c>
      <c r="C506" s="85" t="s">
        <v>118</v>
      </c>
      <c r="D506" s="85" t="s">
        <v>191</v>
      </c>
      <c r="E506" s="85" t="s">
        <v>481</v>
      </c>
      <c r="F506" s="87" t="s">
        <v>238</v>
      </c>
      <c r="G506" s="230">
        <v>1600</v>
      </c>
      <c r="H506" s="111">
        <v>1500</v>
      </c>
      <c r="I506" s="88">
        <f t="shared" si="85"/>
        <v>1.0666666666666667</v>
      </c>
      <c r="J506" s="75">
        <f>1500-400+237.172</f>
        <v>1337.172</v>
      </c>
      <c r="K506" s="89">
        <f t="shared" si="86"/>
        <v>1.1965551178158083</v>
      </c>
      <c r="L506" s="75">
        <v>1187.536</v>
      </c>
      <c r="M506" s="89">
        <f t="shared" si="87"/>
        <v>1.3473275757534928</v>
      </c>
    </row>
    <row r="507" spans="1:13" ht="12.75" customHeight="1">
      <c r="A507" s="108" t="s">
        <v>112</v>
      </c>
      <c r="B507" s="86" t="s">
        <v>480</v>
      </c>
      <c r="C507" s="85" t="s">
        <v>118</v>
      </c>
      <c r="D507" s="85" t="s">
        <v>193</v>
      </c>
      <c r="E507" s="85" t="s">
        <v>481</v>
      </c>
      <c r="F507" s="87" t="s">
        <v>459</v>
      </c>
      <c r="G507" s="230">
        <v>1900</v>
      </c>
      <c r="H507" s="111">
        <v>1899.7</v>
      </c>
      <c r="I507" s="88">
        <f t="shared" si="85"/>
        <v>1.0001579196715271</v>
      </c>
      <c r="J507" s="75">
        <v>3023.93</v>
      </c>
      <c r="K507" s="89">
        <f t="shared" si="86"/>
        <v>0.6283214227842576</v>
      </c>
      <c r="L507" s="75">
        <v>1394.686</v>
      </c>
      <c r="M507" s="89">
        <f t="shared" si="87"/>
        <v>1.3623138111374173</v>
      </c>
    </row>
    <row r="508" spans="1:13" ht="12.75" customHeight="1">
      <c r="A508" s="108" t="s">
        <v>112</v>
      </c>
      <c r="B508" s="86" t="s">
        <v>480</v>
      </c>
      <c r="C508" s="85" t="s">
        <v>118</v>
      </c>
      <c r="D508" s="85" t="s">
        <v>295</v>
      </c>
      <c r="E508" s="85" t="s">
        <v>481</v>
      </c>
      <c r="F508" s="87" t="s">
        <v>474</v>
      </c>
      <c r="G508" s="230">
        <v>100</v>
      </c>
      <c r="H508" s="111">
        <v>100</v>
      </c>
      <c r="I508" s="88">
        <f t="shared" si="85"/>
        <v>1</v>
      </c>
      <c r="J508" s="75">
        <f>100-50</f>
        <v>50</v>
      </c>
      <c r="K508" s="89">
        <f t="shared" si="86"/>
        <v>2</v>
      </c>
      <c r="L508" s="75">
        <v>26.525</v>
      </c>
      <c r="M508" s="89">
        <f t="shared" si="87"/>
        <v>3.770028275212064</v>
      </c>
    </row>
    <row r="509" spans="1:13" ht="12.75" customHeight="1">
      <c r="A509" s="108" t="s">
        <v>112</v>
      </c>
      <c r="B509" s="86" t="s">
        <v>480</v>
      </c>
      <c r="C509" s="85" t="s">
        <v>118</v>
      </c>
      <c r="D509" s="85" t="s">
        <v>368</v>
      </c>
      <c r="E509" s="85" t="s">
        <v>481</v>
      </c>
      <c r="F509" s="87" t="s">
        <v>604</v>
      </c>
      <c r="G509" s="230">
        <v>0</v>
      </c>
      <c r="H509" s="111">
        <v>0</v>
      </c>
      <c r="I509" s="88">
        <f t="shared" si="85"/>
        <v>0</v>
      </c>
      <c r="J509" s="75">
        <v>17</v>
      </c>
      <c r="K509" s="89">
        <f t="shared" si="86"/>
        <v>0</v>
      </c>
      <c r="L509" s="75">
        <v>17</v>
      </c>
      <c r="M509" s="89">
        <f t="shared" si="87"/>
        <v>0</v>
      </c>
    </row>
    <row r="510" spans="1:13" ht="12.75" customHeight="1">
      <c r="A510" s="108" t="s">
        <v>112</v>
      </c>
      <c r="B510" s="86" t="s">
        <v>484</v>
      </c>
      <c r="C510" s="85" t="s">
        <v>118</v>
      </c>
      <c r="D510" s="85" t="s">
        <v>203</v>
      </c>
      <c r="E510" s="85" t="s">
        <v>485</v>
      </c>
      <c r="F510" s="87" t="s">
        <v>462</v>
      </c>
      <c r="G510" s="230">
        <v>771.2</v>
      </c>
      <c r="H510" s="111">
        <v>865</v>
      </c>
      <c r="I510" s="88">
        <f t="shared" si="85"/>
        <v>0.8915606936416185</v>
      </c>
      <c r="J510" s="75">
        <v>1005.33</v>
      </c>
      <c r="K510" s="89">
        <f t="shared" si="86"/>
        <v>0.7671112967881193</v>
      </c>
      <c r="L510" s="75">
        <v>309.745</v>
      </c>
      <c r="M510" s="89">
        <f t="shared" si="87"/>
        <v>2.4897899885389596</v>
      </c>
    </row>
    <row r="511" spans="1:13" ht="12.75" customHeight="1" thickBot="1">
      <c r="A511" s="108" t="s">
        <v>112</v>
      </c>
      <c r="B511" s="86" t="s">
        <v>480</v>
      </c>
      <c r="C511" s="85" t="s">
        <v>118</v>
      </c>
      <c r="D511" s="85" t="s">
        <v>349</v>
      </c>
      <c r="E511" s="85" t="s">
        <v>481</v>
      </c>
      <c r="F511" s="87" t="s">
        <v>785</v>
      </c>
      <c r="G511" s="230">
        <v>0</v>
      </c>
      <c r="H511" s="111">
        <v>0</v>
      </c>
      <c r="I511" s="88">
        <f>IF(H511=0,0,$G511/H511)</f>
        <v>0</v>
      </c>
      <c r="J511" s="75">
        <f>460-237.172</f>
        <v>222.828</v>
      </c>
      <c r="K511" s="89">
        <f>IF(J511=0,0,$G511/J511)</f>
        <v>0</v>
      </c>
      <c r="L511" s="75">
        <v>0</v>
      </c>
      <c r="M511" s="89">
        <f>IF(L511=0,0,$G511/L511)</f>
        <v>0</v>
      </c>
    </row>
    <row r="512" spans="1:15" ht="12.75" customHeight="1">
      <c r="A512" s="109"/>
      <c r="B512" s="91" t="s">
        <v>11</v>
      </c>
      <c r="C512" s="90" t="s">
        <v>118</v>
      </c>
      <c r="D512" s="90"/>
      <c r="E512" s="90"/>
      <c r="F512" s="92"/>
      <c r="G512" s="231">
        <f aca="true" t="shared" si="88" ref="G512:L512">SUM(G495:G511)</f>
        <v>6950.2</v>
      </c>
      <c r="H512" s="93">
        <f t="shared" si="88"/>
        <v>6628.7</v>
      </c>
      <c r="I512" s="94">
        <f t="shared" si="85"/>
        <v>1.0485012144160997</v>
      </c>
      <c r="J512" s="93">
        <f t="shared" si="88"/>
        <v>8077.26</v>
      </c>
      <c r="K512" s="94">
        <f t="shared" si="86"/>
        <v>0.8604650586956467</v>
      </c>
      <c r="L512" s="93">
        <f t="shared" si="88"/>
        <v>4989.0779999999995</v>
      </c>
      <c r="M512" s="94">
        <f t="shared" si="87"/>
        <v>1.3930830506157652</v>
      </c>
      <c r="O512" s="80"/>
    </row>
    <row r="513" spans="9:13" ht="12.75" customHeight="1">
      <c r="I513" s="88"/>
      <c r="K513" s="89"/>
      <c r="M513" s="89"/>
    </row>
    <row r="514" spans="1:13" ht="12.75" customHeight="1">
      <c r="A514" s="108" t="s">
        <v>112</v>
      </c>
      <c r="B514" s="86" t="s">
        <v>486</v>
      </c>
      <c r="C514" s="85" t="s">
        <v>122</v>
      </c>
      <c r="D514" s="85" t="s">
        <v>217</v>
      </c>
      <c r="E514" s="85" t="s">
        <v>487</v>
      </c>
      <c r="F514" s="87" t="s">
        <v>338</v>
      </c>
      <c r="G514" s="230">
        <v>30</v>
      </c>
      <c r="H514" s="111">
        <v>30</v>
      </c>
      <c r="I514" s="88">
        <f aca="true" t="shared" si="89" ref="I514:I526">IF(H514=0,0,$G514/H514)</f>
        <v>1</v>
      </c>
      <c r="J514" s="75">
        <v>30</v>
      </c>
      <c r="K514" s="89">
        <f aca="true" t="shared" si="90" ref="K514:K526">IF(J514=0,0,$G514/J514)</f>
        <v>1</v>
      </c>
      <c r="L514" s="75">
        <v>20.605</v>
      </c>
      <c r="M514" s="89">
        <f aca="true" t="shared" si="91" ref="M514:M526">IF(L514=0,0,$G514/L514)</f>
        <v>1.455957291919437</v>
      </c>
    </row>
    <row r="515" spans="1:13" ht="12.75" customHeight="1">
      <c r="A515" s="108" t="s">
        <v>112</v>
      </c>
      <c r="B515" s="86" t="s">
        <v>486</v>
      </c>
      <c r="C515" s="85" t="s">
        <v>122</v>
      </c>
      <c r="D515" s="85" t="s">
        <v>220</v>
      </c>
      <c r="E515" s="85" t="s">
        <v>487</v>
      </c>
      <c r="F515" s="87" t="s">
        <v>470</v>
      </c>
      <c r="G515" s="230">
        <v>7.5</v>
      </c>
      <c r="H515" s="111">
        <v>7.5</v>
      </c>
      <c r="I515" s="88">
        <f t="shared" si="89"/>
        <v>1</v>
      </c>
      <c r="J515" s="75">
        <v>0</v>
      </c>
      <c r="K515" s="89">
        <f t="shared" si="90"/>
        <v>0</v>
      </c>
      <c r="L515" s="75">
        <v>0</v>
      </c>
      <c r="M515" s="89">
        <f t="shared" si="91"/>
        <v>0</v>
      </c>
    </row>
    <row r="516" spans="1:13" ht="12.75" customHeight="1">
      <c r="A516" s="108" t="s">
        <v>112</v>
      </c>
      <c r="B516" s="86" t="s">
        <v>486</v>
      </c>
      <c r="C516" s="85" t="s">
        <v>122</v>
      </c>
      <c r="D516" s="85" t="s">
        <v>222</v>
      </c>
      <c r="E516" s="85" t="s">
        <v>487</v>
      </c>
      <c r="F516" s="87" t="s">
        <v>471</v>
      </c>
      <c r="G516" s="230">
        <v>2.7</v>
      </c>
      <c r="H516" s="111">
        <v>2.7</v>
      </c>
      <c r="I516" s="88">
        <f t="shared" si="89"/>
        <v>1</v>
      </c>
      <c r="J516" s="75">
        <v>0</v>
      </c>
      <c r="K516" s="89">
        <f t="shared" si="90"/>
        <v>0</v>
      </c>
      <c r="L516" s="75">
        <v>0</v>
      </c>
      <c r="M516" s="89">
        <f t="shared" si="91"/>
        <v>0</v>
      </c>
    </row>
    <row r="517" spans="1:13" ht="12.75" customHeight="1">
      <c r="A517" s="108" t="s">
        <v>112</v>
      </c>
      <c r="B517" s="86" t="s">
        <v>486</v>
      </c>
      <c r="C517" s="85" t="s">
        <v>122</v>
      </c>
      <c r="D517" s="85" t="s">
        <v>211</v>
      </c>
      <c r="E517" s="85" t="s">
        <v>487</v>
      </c>
      <c r="F517" s="87" t="s">
        <v>224</v>
      </c>
      <c r="G517" s="230">
        <v>2</v>
      </c>
      <c r="H517" s="111">
        <v>2</v>
      </c>
      <c r="I517" s="88">
        <f t="shared" si="89"/>
        <v>1</v>
      </c>
      <c r="J517" s="75">
        <v>2</v>
      </c>
      <c r="K517" s="89">
        <f t="shared" si="90"/>
        <v>1</v>
      </c>
      <c r="L517" s="75">
        <v>0</v>
      </c>
      <c r="M517" s="89">
        <f t="shared" si="91"/>
        <v>0</v>
      </c>
    </row>
    <row r="518" spans="1:13" ht="12.75" customHeight="1">
      <c r="A518" s="108" t="s">
        <v>112</v>
      </c>
      <c r="B518" s="86" t="s">
        <v>486</v>
      </c>
      <c r="C518" s="85" t="s">
        <v>122</v>
      </c>
      <c r="D518" s="85" t="s">
        <v>225</v>
      </c>
      <c r="E518" s="85" t="s">
        <v>487</v>
      </c>
      <c r="F518" s="87" t="s">
        <v>488</v>
      </c>
      <c r="G518" s="230">
        <v>1</v>
      </c>
      <c r="H518" s="111">
        <v>1</v>
      </c>
      <c r="I518" s="88">
        <f t="shared" si="89"/>
        <v>1</v>
      </c>
      <c r="J518" s="75">
        <v>1</v>
      </c>
      <c r="K518" s="89">
        <f t="shared" si="90"/>
        <v>1</v>
      </c>
      <c r="L518" s="75">
        <v>0</v>
      </c>
      <c r="M518" s="89">
        <f t="shared" si="91"/>
        <v>0</v>
      </c>
    </row>
    <row r="519" spans="1:13" ht="12.75" customHeight="1">
      <c r="A519" s="108" t="s">
        <v>112</v>
      </c>
      <c r="B519" s="86" t="s">
        <v>486</v>
      </c>
      <c r="C519" s="85" t="s">
        <v>122</v>
      </c>
      <c r="D519" s="85" t="s">
        <v>176</v>
      </c>
      <c r="E519" s="85" t="s">
        <v>487</v>
      </c>
      <c r="F519" s="87" t="s">
        <v>229</v>
      </c>
      <c r="G519" s="230">
        <v>2</v>
      </c>
      <c r="H519" s="111">
        <v>2</v>
      </c>
      <c r="I519" s="88">
        <f t="shared" si="89"/>
        <v>1</v>
      </c>
      <c r="J519" s="75">
        <v>2</v>
      </c>
      <c r="K519" s="89">
        <f t="shared" si="90"/>
        <v>1</v>
      </c>
      <c r="L519" s="75">
        <v>0</v>
      </c>
      <c r="M519" s="89">
        <f t="shared" si="91"/>
        <v>0</v>
      </c>
    </row>
    <row r="520" spans="1:13" ht="12.75" customHeight="1">
      <c r="A520" s="108" t="s">
        <v>112</v>
      </c>
      <c r="B520" s="86" t="s">
        <v>486</v>
      </c>
      <c r="C520" s="85" t="s">
        <v>122</v>
      </c>
      <c r="D520" s="85" t="s">
        <v>179</v>
      </c>
      <c r="E520" s="85" t="s">
        <v>487</v>
      </c>
      <c r="F520" s="87" t="s">
        <v>180</v>
      </c>
      <c r="G520" s="230">
        <v>60</v>
      </c>
      <c r="H520" s="111">
        <v>120</v>
      </c>
      <c r="I520" s="88">
        <f t="shared" si="89"/>
        <v>0.5</v>
      </c>
      <c r="J520" s="75">
        <f>120-70</f>
        <v>50</v>
      </c>
      <c r="K520" s="89">
        <f t="shared" si="90"/>
        <v>1.2</v>
      </c>
      <c r="L520" s="75">
        <v>46.493</v>
      </c>
      <c r="M520" s="89">
        <f t="shared" si="91"/>
        <v>1.2905168519992256</v>
      </c>
    </row>
    <row r="521" spans="1:13" ht="12.75" customHeight="1">
      <c r="A521" s="108" t="s">
        <v>112</v>
      </c>
      <c r="B521" s="86" t="s">
        <v>486</v>
      </c>
      <c r="C521" s="85" t="s">
        <v>122</v>
      </c>
      <c r="D521" s="85" t="s">
        <v>183</v>
      </c>
      <c r="E521" s="85" t="s">
        <v>487</v>
      </c>
      <c r="F521" s="87" t="s">
        <v>184</v>
      </c>
      <c r="G521" s="230">
        <v>20</v>
      </c>
      <c r="H521" s="111">
        <v>30</v>
      </c>
      <c r="I521" s="88">
        <f t="shared" si="89"/>
        <v>0.6666666666666666</v>
      </c>
      <c r="J521" s="75">
        <v>30</v>
      </c>
      <c r="K521" s="89">
        <f t="shared" si="90"/>
        <v>0.6666666666666666</v>
      </c>
      <c r="L521" s="75">
        <v>15.603</v>
      </c>
      <c r="M521" s="89">
        <f t="shared" si="91"/>
        <v>1.2818047811318336</v>
      </c>
    </row>
    <row r="522" spans="1:13" ht="12.75" customHeight="1">
      <c r="A522" s="108" t="s">
        <v>112</v>
      </c>
      <c r="B522" s="86" t="s">
        <v>486</v>
      </c>
      <c r="C522" s="85" t="s">
        <v>122</v>
      </c>
      <c r="D522" s="85" t="s">
        <v>189</v>
      </c>
      <c r="E522" s="85" t="s">
        <v>487</v>
      </c>
      <c r="F522" s="87" t="s">
        <v>318</v>
      </c>
      <c r="G522" s="230">
        <v>10</v>
      </c>
      <c r="H522" s="111">
        <v>20</v>
      </c>
      <c r="I522" s="88">
        <f t="shared" si="89"/>
        <v>0.5</v>
      </c>
      <c r="J522" s="75">
        <f>20-17</f>
        <v>3</v>
      </c>
      <c r="K522" s="89">
        <f t="shared" si="90"/>
        <v>3.3333333333333335</v>
      </c>
      <c r="L522" s="75">
        <v>3</v>
      </c>
      <c r="M522" s="89">
        <f t="shared" si="91"/>
        <v>3.3333333333333335</v>
      </c>
    </row>
    <row r="523" spans="1:13" ht="12.75" customHeight="1">
      <c r="A523" s="108" t="s">
        <v>112</v>
      </c>
      <c r="B523" s="86" t="s">
        <v>486</v>
      </c>
      <c r="C523" s="85" t="s">
        <v>122</v>
      </c>
      <c r="D523" s="85" t="s">
        <v>191</v>
      </c>
      <c r="E523" s="85" t="s">
        <v>487</v>
      </c>
      <c r="F523" s="87" t="s">
        <v>238</v>
      </c>
      <c r="G523" s="230">
        <v>26</v>
      </c>
      <c r="H523" s="111">
        <v>30</v>
      </c>
      <c r="I523" s="88">
        <f t="shared" si="89"/>
        <v>0.8666666666666667</v>
      </c>
      <c r="J523" s="75">
        <v>30</v>
      </c>
      <c r="K523" s="89">
        <f t="shared" si="90"/>
        <v>0.8666666666666667</v>
      </c>
      <c r="L523" s="75">
        <v>2.26</v>
      </c>
      <c r="M523" s="89">
        <f t="shared" si="91"/>
        <v>11.504424778761063</v>
      </c>
    </row>
    <row r="524" spans="1:13" ht="12.75" customHeight="1">
      <c r="A524" s="108" t="s">
        <v>112</v>
      </c>
      <c r="B524" s="86" t="s">
        <v>486</v>
      </c>
      <c r="C524" s="85" t="s">
        <v>122</v>
      </c>
      <c r="D524" s="85" t="s">
        <v>193</v>
      </c>
      <c r="E524" s="85" t="s">
        <v>487</v>
      </c>
      <c r="F524" s="87" t="s">
        <v>489</v>
      </c>
      <c r="G524" s="230">
        <v>100</v>
      </c>
      <c r="H524" s="111">
        <v>150</v>
      </c>
      <c r="I524" s="88">
        <f t="shared" si="89"/>
        <v>0.6666666666666666</v>
      </c>
      <c r="J524" s="75">
        <v>150</v>
      </c>
      <c r="K524" s="89">
        <f t="shared" si="90"/>
        <v>0.6666666666666666</v>
      </c>
      <c r="L524" s="75">
        <v>93.255</v>
      </c>
      <c r="M524" s="89">
        <f t="shared" si="91"/>
        <v>1.0723285614712348</v>
      </c>
    </row>
    <row r="525" spans="1:13" ht="12.75" customHeight="1" thickBot="1">
      <c r="A525" s="108" t="s">
        <v>112</v>
      </c>
      <c r="B525" s="86" t="s">
        <v>486</v>
      </c>
      <c r="C525" s="85" t="s">
        <v>122</v>
      </c>
      <c r="D525" s="85" t="s">
        <v>349</v>
      </c>
      <c r="E525" s="85" t="s">
        <v>487</v>
      </c>
      <c r="F525" s="87" t="s">
        <v>785</v>
      </c>
      <c r="G525" s="230">
        <v>0</v>
      </c>
      <c r="H525" s="111">
        <v>0</v>
      </c>
      <c r="I525" s="88">
        <f>IF(H525=0,0,$G525/H525)</f>
        <v>0</v>
      </c>
      <c r="J525" s="75">
        <v>87</v>
      </c>
      <c r="K525" s="89">
        <f>IF(J525=0,0,$G525/J525)</f>
        <v>0</v>
      </c>
      <c r="L525" s="75">
        <v>0</v>
      </c>
      <c r="M525" s="89">
        <f>IF(L525=0,0,$G525/L525)</f>
        <v>0</v>
      </c>
    </row>
    <row r="526" spans="1:15" ht="12.75" customHeight="1">
      <c r="A526" s="109"/>
      <c r="B526" s="91" t="s">
        <v>11</v>
      </c>
      <c r="C526" s="90" t="s">
        <v>122</v>
      </c>
      <c r="D526" s="90"/>
      <c r="E526" s="90"/>
      <c r="F526" s="92"/>
      <c r="G526" s="231">
        <f aca="true" t="shared" si="92" ref="G526:L526">SUM(G514:G525)</f>
        <v>261.2</v>
      </c>
      <c r="H526" s="93">
        <f>SUM(H514:H525)</f>
        <v>395.2</v>
      </c>
      <c r="I526" s="94">
        <f t="shared" si="89"/>
        <v>0.6609311740890688</v>
      </c>
      <c r="J526" s="93">
        <f t="shared" si="92"/>
        <v>385</v>
      </c>
      <c r="K526" s="94">
        <f t="shared" si="90"/>
        <v>0.6784415584415584</v>
      </c>
      <c r="L526" s="93">
        <f t="shared" si="92"/>
        <v>181.216</v>
      </c>
      <c r="M526" s="94">
        <f t="shared" si="91"/>
        <v>1.4413738301253751</v>
      </c>
      <c r="O526" s="80"/>
    </row>
    <row r="527" spans="9:13" ht="12.75" customHeight="1">
      <c r="I527" s="88"/>
      <c r="K527" s="89"/>
      <c r="M527" s="89"/>
    </row>
    <row r="528" spans="1:13" ht="12.75" customHeight="1">
      <c r="A528" s="108" t="s">
        <v>112</v>
      </c>
      <c r="B528" s="86" t="s">
        <v>490</v>
      </c>
      <c r="C528" s="85" t="s">
        <v>127</v>
      </c>
      <c r="D528" s="85" t="s">
        <v>179</v>
      </c>
      <c r="E528" s="85" t="s">
        <v>491</v>
      </c>
      <c r="F528" s="87" t="s">
        <v>180</v>
      </c>
      <c r="G528" s="230">
        <v>10</v>
      </c>
      <c r="H528" s="111">
        <v>10</v>
      </c>
      <c r="I528" s="88">
        <f aca="true" t="shared" si="93" ref="I528:I536">IF(H528=0,0,$G528/H528)</f>
        <v>1</v>
      </c>
      <c r="J528" s="75">
        <v>10</v>
      </c>
      <c r="K528" s="89">
        <f aca="true" t="shared" si="94" ref="K528:K536">IF(J528=0,0,$G528/J528)</f>
        <v>1</v>
      </c>
      <c r="L528" s="75">
        <v>0</v>
      </c>
      <c r="M528" s="89">
        <f aca="true" t="shared" si="95" ref="M528:M536">IF(L528=0,0,$G528/L528)</f>
        <v>0</v>
      </c>
    </row>
    <row r="529" spans="1:13" ht="12.75" customHeight="1">
      <c r="A529" s="108" t="s">
        <v>112</v>
      </c>
      <c r="B529" s="86" t="s">
        <v>490</v>
      </c>
      <c r="C529" s="85" t="s">
        <v>127</v>
      </c>
      <c r="D529" s="85" t="s">
        <v>181</v>
      </c>
      <c r="E529" s="85" t="s">
        <v>491</v>
      </c>
      <c r="F529" s="87" t="s">
        <v>182</v>
      </c>
      <c r="G529" s="230">
        <v>80</v>
      </c>
      <c r="H529" s="111">
        <v>80</v>
      </c>
      <c r="I529" s="88">
        <f t="shared" si="93"/>
        <v>1</v>
      </c>
      <c r="J529" s="75">
        <f>80-30</f>
        <v>50</v>
      </c>
      <c r="K529" s="89">
        <f t="shared" si="94"/>
        <v>1.6</v>
      </c>
      <c r="L529" s="75">
        <v>39.317</v>
      </c>
      <c r="M529" s="89">
        <f t="shared" si="95"/>
        <v>2.034743240837297</v>
      </c>
    </row>
    <row r="530" spans="1:13" ht="12.75" customHeight="1">
      <c r="A530" s="108" t="s">
        <v>112</v>
      </c>
      <c r="B530" s="86" t="s">
        <v>490</v>
      </c>
      <c r="C530" s="85" t="s">
        <v>127</v>
      </c>
      <c r="D530" s="85" t="s">
        <v>183</v>
      </c>
      <c r="E530" s="85" t="s">
        <v>491</v>
      </c>
      <c r="F530" s="87" t="s">
        <v>184</v>
      </c>
      <c r="G530" s="230">
        <v>20</v>
      </c>
      <c r="H530" s="111">
        <v>20</v>
      </c>
      <c r="I530" s="88">
        <f t="shared" si="93"/>
        <v>1</v>
      </c>
      <c r="J530" s="75">
        <v>20</v>
      </c>
      <c r="K530" s="89">
        <f t="shared" si="94"/>
        <v>1</v>
      </c>
      <c r="L530" s="75">
        <v>14.617</v>
      </c>
      <c r="M530" s="89">
        <f t="shared" si="95"/>
        <v>1.368269822809058</v>
      </c>
    </row>
    <row r="531" spans="1:13" ht="12.75" customHeight="1">
      <c r="A531" s="108" t="s">
        <v>112</v>
      </c>
      <c r="B531" s="86" t="s">
        <v>490</v>
      </c>
      <c r="C531" s="85" t="s">
        <v>127</v>
      </c>
      <c r="D531" s="85" t="s">
        <v>289</v>
      </c>
      <c r="E531" s="85" t="s">
        <v>491</v>
      </c>
      <c r="F531" s="87" t="s">
        <v>362</v>
      </c>
      <c r="G531" s="230">
        <v>0</v>
      </c>
      <c r="H531" s="111">
        <v>100</v>
      </c>
      <c r="I531" s="88">
        <f t="shared" si="93"/>
        <v>0</v>
      </c>
      <c r="J531" s="75">
        <f>100-100</f>
        <v>0</v>
      </c>
      <c r="K531" s="89">
        <f t="shared" si="94"/>
        <v>0</v>
      </c>
      <c r="L531" s="75">
        <v>0</v>
      </c>
      <c r="M531" s="89">
        <f t="shared" si="95"/>
        <v>0</v>
      </c>
    </row>
    <row r="532" spans="1:13" ht="12.75" customHeight="1">
      <c r="A532" s="108" t="s">
        <v>112</v>
      </c>
      <c r="B532" s="86" t="s">
        <v>490</v>
      </c>
      <c r="C532" s="85" t="s">
        <v>127</v>
      </c>
      <c r="D532" s="85" t="s">
        <v>189</v>
      </c>
      <c r="E532" s="85" t="s">
        <v>491</v>
      </c>
      <c r="F532" s="87" t="s">
        <v>318</v>
      </c>
      <c r="G532" s="230">
        <v>5</v>
      </c>
      <c r="H532" s="111">
        <v>20</v>
      </c>
      <c r="I532" s="88">
        <f t="shared" si="93"/>
        <v>0.25</v>
      </c>
      <c r="J532" s="75">
        <v>20</v>
      </c>
      <c r="K532" s="89">
        <f t="shared" si="94"/>
        <v>0.25</v>
      </c>
      <c r="L532" s="75">
        <v>0</v>
      </c>
      <c r="M532" s="89">
        <f t="shared" si="95"/>
        <v>0</v>
      </c>
    </row>
    <row r="533" spans="1:13" ht="12.75" customHeight="1">
      <c r="A533" s="108" t="s">
        <v>112</v>
      </c>
      <c r="B533" s="86" t="s">
        <v>490</v>
      </c>
      <c r="C533" s="85" t="s">
        <v>127</v>
      </c>
      <c r="D533" s="85" t="s">
        <v>191</v>
      </c>
      <c r="E533" s="85" t="s">
        <v>491</v>
      </c>
      <c r="F533" s="87" t="s">
        <v>238</v>
      </c>
      <c r="G533" s="230">
        <v>30</v>
      </c>
      <c r="H533" s="111">
        <v>50</v>
      </c>
      <c r="I533" s="88">
        <f t="shared" si="93"/>
        <v>0.6</v>
      </c>
      <c r="J533" s="75">
        <f>50-30</f>
        <v>20</v>
      </c>
      <c r="K533" s="89">
        <f t="shared" si="94"/>
        <v>1.5</v>
      </c>
      <c r="L533" s="75">
        <v>0</v>
      </c>
      <c r="M533" s="89">
        <f t="shared" si="95"/>
        <v>0</v>
      </c>
    </row>
    <row r="534" spans="1:13" ht="12.75" customHeight="1">
      <c r="A534" s="108" t="s">
        <v>112</v>
      </c>
      <c r="B534" s="86" t="s">
        <v>490</v>
      </c>
      <c r="C534" s="85" t="s">
        <v>127</v>
      </c>
      <c r="D534" s="85" t="s">
        <v>193</v>
      </c>
      <c r="E534" s="85" t="s">
        <v>491</v>
      </c>
      <c r="F534" s="87" t="s">
        <v>459</v>
      </c>
      <c r="G534" s="230">
        <v>50</v>
      </c>
      <c r="H534" s="111">
        <v>30</v>
      </c>
      <c r="I534" s="88">
        <f t="shared" si="93"/>
        <v>1.6666666666666667</v>
      </c>
      <c r="J534" s="75">
        <v>30</v>
      </c>
      <c r="K534" s="89">
        <f t="shared" si="94"/>
        <v>1.6666666666666667</v>
      </c>
      <c r="L534" s="75">
        <v>6.604</v>
      </c>
      <c r="M534" s="89">
        <f t="shared" si="95"/>
        <v>7.571168988491823</v>
      </c>
    </row>
    <row r="535" spans="1:13" ht="12.75" customHeight="1" thickBot="1">
      <c r="A535" s="108" t="s">
        <v>112</v>
      </c>
      <c r="B535" s="86" t="s">
        <v>490</v>
      </c>
      <c r="C535" s="85" t="s">
        <v>127</v>
      </c>
      <c r="D535" s="85" t="s">
        <v>349</v>
      </c>
      <c r="E535" s="85" t="s">
        <v>491</v>
      </c>
      <c r="F535" s="87" t="s">
        <v>785</v>
      </c>
      <c r="G535" s="230">
        <v>0</v>
      </c>
      <c r="H535" s="111">
        <v>0</v>
      </c>
      <c r="I535" s="88">
        <f>IF(H535=0,0,$G535/H535)</f>
        <v>0</v>
      </c>
      <c r="J535" s="75">
        <v>160</v>
      </c>
      <c r="K535" s="89">
        <f>IF(J535=0,0,$G535/J535)</f>
        <v>0</v>
      </c>
      <c r="L535" s="75">
        <v>0</v>
      </c>
      <c r="M535" s="89">
        <f>IF(L535=0,0,$G535/L535)</f>
        <v>0</v>
      </c>
    </row>
    <row r="536" spans="1:15" ht="12.75" customHeight="1">
      <c r="A536" s="109"/>
      <c r="B536" s="91" t="s">
        <v>11</v>
      </c>
      <c r="C536" s="90" t="s">
        <v>127</v>
      </c>
      <c r="D536" s="90"/>
      <c r="E536" s="90"/>
      <c r="F536" s="92"/>
      <c r="G536" s="231">
        <f aca="true" t="shared" si="96" ref="G536:L536">SUM(G528:G535)</f>
        <v>195</v>
      </c>
      <c r="H536" s="93">
        <f>SUM(H528:H535)</f>
        <v>310</v>
      </c>
      <c r="I536" s="94">
        <f t="shared" si="93"/>
        <v>0.6290322580645161</v>
      </c>
      <c r="J536" s="93">
        <f t="shared" si="96"/>
        <v>310</v>
      </c>
      <c r="K536" s="94">
        <f t="shared" si="94"/>
        <v>0.6290322580645161</v>
      </c>
      <c r="L536" s="93">
        <f t="shared" si="96"/>
        <v>60.538</v>
      </c>
      <c r="M536" s="94">
        <f t="shared" si="95"/>
        <v>3.221117314744458</v>
      </c>
      <c r="O536" s="80"/>
    </row>
    <row r="537" spans="9:13" ht="12.75" customHeight="1">
      <c r="I537" s="88"/>
      <c r="K537" s="89"/>
      <c r="M537" s="89"/>
    </row>
    <row r="538" spans="1:13" ht="12.75" customHeight="1">
      <c r="A538" s="108" t="s">
        <v>112</v>
      </c>
      <c r="B538" s="86" t="s">
        <v>492</v>
      </c>
      <c r="C538" s="85" t="s">
        <v>493</v>
      </c>
      <c r="D538" s="85" t="s">
        <v>176</v>
      </c>
      <c r="E538" s="85" t="s">
        <v>494</v>
      </c>
      <c r="F538" s="87" t="s">
        <v>229</v>
      </c>
      <c r="G538" s="230">
        <v>100</v>
      </c>
      <c r="H538" s="111">
        <v>0</v>
      </c>
      <c r="I538" s="88">
        <f aca="true" t="shared" si="97" ref="I538:I543">IF(H538=0,0,$G538/H538)</f>
        <v>0</v>
      </c>
      <c r="J538" s="75">
        <v>0</v>
      </c>
      <c r="K538" s="89">
        <f aca="true" t="shared" si="98" ref="K538:K543">IF(J538=0,0,$G538/J538)</f>
        <v>0</v>
      </c>
      <c r="L538" s="75">
        <v>38.708</v>
      </c>
      <c r="M538" s="89">
        <f aca="true" t="shared" si="99" ref="M538:M543">IF(L538=0,0,$G538/L538)</f>
        <v>2.583445282628914</v>
      </c>
    </row>
    <row r="539" spans="1:13" ht="12.75" customHeight="1">
      <c r="A539" s="108" t="s">
        <v>112</v>
      </c>
      <c r="B539" s="86" t="s">
        <v>492</v>
      </c>
      <c r="C539" s="85" t="s">
        <v>493</v>
      </c>
      <c r="D539" s="85" t="s">
        <v>191</v>
      </c>
      <c r="E539" s="85" t="s">
        <v>494</v>
      </c>
      <c r="F539" s="87" t="s">
        <v>421</v>
      </c>
      <c r="G539" s="230">
        <v>3000</v>
      </c>
      <c r="H539" s="111">
        <v>3360</v>
      </c>
      <c r="I539" s="88">
        <f t="shared" si="97"/>
        <v>0.8928571428571429</v>
      </c>
      <c r="J539" s="75">
        <f>3351.78-600+126.715</f>
        <v>2878.4950000000003</v>
      </c>
      <c r="K539" s="89">
        <f t="shared" si="98"/>
        <v>1.0422112944437978</v>
      </c>
      <c r="L539" s="75">
        <v>2383.971</v>
      </c>
      <c r="M539" s="89">
        <f t="shared" si="99"/>
        <v>1.2584045695186727</v>
      </c>
    </row>
    <row r="540" spans="1:13" ht="12.75" customHeight="1">
      <c r="A540" s="108" t="s">
        <v>112</v>
      </c>
      <c r="B540" s="86" t="s">
        <v>492</v>
      </c>
      <c r="C540" s="85" t="s">
        <v>493</v>
      </c>
      <c r="D540" s="85" t="s">
        <v>193</v>
      </c>
      <c r="E540" s="85" t="s">
        <v>494</v>
      </c>
      <c r="F540" s="87" t="s">
        <v>459</v>
      </c>
      <c r="G540" s="230">
        <v>100</v>
      </c>
      <c r="H540" s="111">
        <v>0</v>
      </c>
      <c r="I540" s="88">
        <f t="shared" si="97"/>
        <v>0</v>
      </c>
      <c r="J540" s="75">
        <v>21.52</v>
      </c>
      <c r="K540" s="89">
        <f t="shared" si="98"/>
        <v>4.646840148698885</v>
      </c>
      <c r="L540" s="75">
        <v>21.52</v>
      </c>
      <c r="M540" s="89">
        <f t="shared" si="99"/>
        <v>4.646840148698885</v>
      </c>
    </row>
    <row r="541" spans="1:13" ht="12.75" customHeight="1">
      <c r="A541" s="108" t="s">
        <v>112</v>
      </c>
      <c r="B541" s="86" t="s">
        <v>495</v>
      </c>
      <c r="C541" s="85" t="s">
        <v>493</v>
      </c>
      <c r="D541" s="85" t="s">
        <v>203</v>
      </c>
      <c r="E541" s="85" t="s">
        <v>496</v>
      </c>
      <c r="F541" s="87" t="s">
        <v>462</v>
      </c>
      <c r="G541" s="230">
        <v>2000</v>
      </c>
      <c r="H541" s="111">
        <v>1890</v>
      </c>
      <c r="I541" s="88">
        <f t="shared" si="97"/>
        <v>1.0582010582010581</v>
      </c>
      <c r="J541" s="75">
        <v>2836.7</v>
      </c>
      <c r="K541" s="89">
        <f t="shared" si="98"/>
        <v>0.705044594070575</v>
      </c>
      <c r="L541" s="75">
        <v>1636.856</v>
      </c>
      <c r="M541" s="89">
        <f t="shared" si="99"/>
        <v>1.2218545797553357</v>
      </c>
    </row>
    <row r="542" spans="1:13" ht="12.75" customHeight="1" thickBot="1">
      <c r="A542" s="108" t="s">
        <v>112</v>
      </c>
      <c r="B542" s="86" t="s">
        <v>492</v>
      </c>
      <c r="C542" s="85" t="s">
        <v>493</v>
      </c>
      <c r="D542" s="85" t="s">
        <v>349</v>
      </c>
      <c r="E542" s="85" t="s">
        <v>494</v>
      </c>
      <c r="F542" s="87" t="s">
        <v>785</v>
      </c>
      <c r="G542" s="230">
        <v>0</v>
      </c>
      <c r="H542" s="111">
        <v>0</v>
      </c>
      <c r="I542" s="88">
        <f t="shared" si="97"/>
        <v>0</v>
      </c>
      <c r="J542" s="75">
        <f>600-126.715</f>
        <v>473.28499999999997</v>
      </c>
      <c r="K542" s="89">
        <f t="shared" si="98"/>
        <v>0</v>
      </c>
      <c r="L542" s="75">
        <v>0</v>
      </c>
      <c r="M542" s="89">
        <f t="shared" si="99"/>
        <v>0</v>
      </c>
    </row>
    <row r="543" spans="1:15" ht="12.75" customHeight="1">
      <c r="A543" s="109"/>
      <c r="B543" s="91" t="s">
        <v>11</v>
      </c>
      <c r="C543" s="90" t="s">
        <v>493</v>
      </c>
      <c r="D543" s="90"/>
      <c r="E543" s="90"/>
      <c r="F543" s="92"/>
      <c r="G543" s="231">
        <f aca="true" t="shared" si="100" ref="G543:L543">SUM(G538:G542)</f>
        <v>5200</v>
      </c>
      <c r="H543" s="93">
        <f t="shared" si="100"/>
        <v>5250</v>
      </c>
      <c r="I543" s="94">
        <f t="shared" si="97"/>
        <v>0.9904761904761905</v>
      </c>
      <c r="J543" s="93">
        <f t="shared" si="100"/>
        <v>6210</v>
      </c>
      <c r="K543" s="94">
        <f t="shared" si="98"/>
        <v>0.8373590982286635</v>
      </c>
      <c r="L543" s="93">
        <f t="shared" si="100"/>
        <v>4081.0550000000003</v>
      </c>
      <c r="M543" s="94">
        <f t="shared" si="99"/>
        <v>1.2741803283709725</v>
      </c>
      <c r="O543" s="80"/>
    </row>
    <row r="544" spans="9:13" ht="12.75" customHeight="1">
      <c r="I544" s="88"/>
      <c r="K544" s="89"/>
      <c r="M544" s="89"/>
    </row>
    <row r="545" spans="1:13" ht="12.75" customHeight="1">
      <c r="A545" s="108" t="s">
        <v>112</v>
      </c>
      <c r="B545" s="86" t="s">
        <v>497</v>
      </c>
      <c r="C545" s="85" t="s">
        <v>132</v>
      </c>
      <c r="D545" s="85" t="s">
        <v>289</v>
      </c>
      <c r="E545" s="85" t="s">
        <v>498</v>
      </c>
      <c r="F545" s="87" t="s">
        <v>362</v>
      </c>
      <c r="G545" s="230">
        <v>68</v>
      </c>
      <c r="H545" s="111">
        <v>90</v>
      </c>
      <c r="I545" s="88">
        <f aca="true" t="shared" si="101" ref="I545:I556">IF(H545=0,0,$G545/H545)</f>
        <v>0.7555555555555555</v>
      </c>
      <c r="J545" s="75">
        <f>90-40</f>
        <v>50</v>
      </c>
      <c r="K545" s="89">
        <f aca="true" t="shared" si="102" ref="K545:K556">IF(J545=0,0,$G545/J545)</f>
        <v>1.36</v>
      </c>
      <c r="L545" s="75">
        <v>40.536</v>
      </c>
      <c r="M545" s="89">
        <f aca="true" t="shared" si="103" ref="M545:M556">IF(L545=0,0,$G545/L545)</f>
        <v>1.6775212157094928</v>
      </c>
    </row>
    <row r="546" spans="1:13" ht="12.75" customHeight="1">
      <c r="A546" s="108" t="s">
        <v>112</v>
      </c>
      <c r="B546" s="86" t="s">
        <v>497</v>
      </c>
      <c r="C546" s="85" t="s">
        <v>132</v>
      </c>
      <c r="D546" s="85" t="s">
        <v>189</v>
      </c>
      <c r="E546" s="85" t="s">
        <v>498</v>
      </c>
      <c r="F546" s="87" t="s">
        <v>318</v>
      </c>
      <c r="G546" s="230">
        <v>100</v>
      </c>
      <c r="H546" s="111">
        <v>30</v>
      </c>
      <c r="I546" s="88">
        <f t="shared" si="101"/>
        <v>3.3333333333333335</v>
      </c>
      <c r="J546" s="75">
        <v>30</v>
      </c>
      <c r="K546" s="89">
        <f t="shared" si="102"/>
        <v>3.3333333333333335</v>
      </c>
      <c r="L546" s="75">
        <v>39.859</v>
      </c>
      <c r="M546" s="89">
        <f t="shared" si="103"/>
        <v>2.508843673950676</v>
      </c>
    </row>
    <row r="547" spans="1:13" ht="12.75" customHeight="1">
      <c r="A547" s="108" t="s">
        <v>112</v>
      </c>
      <c r="B547" s="86" t="s">
        <v>497</v>
      </c>
      <c r="C547" s="85" t="s">
        <v>132</v>
      </c>
      <c r="D547" s="85" t="s">
        <v>191</v>
      </c>
      <c r="E547" s="85" t="s">
        <v>498</v>
      </c>
      <c r="F547" s="87" t="s">
        <v>421</v>
      </c>
      <c r="G547" s="230">
        <v>250</v>
      </c>
      <c r="H547" s="111">
        <v>452</v>
      </c>
      <c r="I547" s="88">
        <f t="shared" si="101"/>
        <v>0.5530973451327433</v>
      </c>
      <c r="J547" s="75">
        <f>452-300</f>
        <v>152</v>
      </c>
      <c r="K547" s="89">
        <f t="shared" si="102"/>
        <v>1.644736842105263</v>
      </c>
      <c r="L547" s="75">
        <v>10</v>
      </c>
      <c r="M547" s="89">
        <f t="shared" si="103"/>
        <v>25</v>
      </c>
    </row>
    <row r="548" spans="1:13" ht="12.75" customHeight="1">
      <c r="A548" s="108" t="s">
        <v>112</v>
      </c>
      <c r="B548" s="86" t="s">
        <v>497</v>
      </c>
      <c r="C548" s="85" t="s">
        <v>132</v>
      </c>
      <c r="D548" s="85" t="s">
        <v>195</v>
      </c>
      <c r="E548" s="85" t="s">
        <v>498</v>
      </c>
      <c r="F548" s="87" t="s">
        <v>258</v>
      </c>
      <c r="G548" s="230">
        <v>0</v>
      </c>
      <c r="H548" s="111">
        <v>3</v>
      </c>
      <c r="I548" s="88">
        <f t="shared" si="101"/>
        <v>0</v>
      </c>
      <c r="J548" s="75">
        <v>0</v>
      </c>
      <c r="K548" s="89">
        <f t="shared" si="102"/>
        <v>0</v>
      </c>
      <c r="L548" s="75">
        <v>0</v>
      </c>
      <c r="M548" s="89">
        <f t="shared" si="103"/>
        <v>0</v>
      </c>
    </row>
    <row r="549" spans="1:13" ht="12.75" customHeight="1">
      <c r="A549" s="108" t="s">
        <v>112</v>
      </c>
      <c r="B549" s="86" t="s">
        <v>497</v>
      </c>
      <c r="C549" s="85" t="s">
        <v>132</v>
      </c>
      <c r="D549" s="85" t="s">
        <v>614</v>
      </c>
      <c r="E549" s="85" t="s">
        <v>498</v>
      </c>
      <c r="F549" s="87" t="s">
        <v>624</v>
      </c>
      <c r="G549" s="230">
        <v>10</v>
      </c>
      <c r="H549" s="111">
        <v>0</v>
      </c>
      <c r="I549" s="88">
        <f t="shared" si="101"/>
        <v>0</v>
      </c>
      <c r="J549" s="75">
        <v>1.45</v>
      </c>
      <c r="K549" s="89">
        <f t="shared" si="102"/>
        <v>6.8965517241379315</v>
      </c>
      <c r="L549" s="75">
        <v>1.452</v>
      </c>
      <c r="M549" s="89">
        <f t="shared" si="103"/>
        <v>6.887052341597796</v>
      </c>
    </row>
    <row r="550" spans="1:13" ht="12.75" customHeight="1">
      <c r="A550" s="108" t="s">
        <v>112</v>
      </c>
      <c r="B550" s="86" t="s">
        <v>497</v>
      </c>
      <c r="C550" s="85" t="s">
        <v>132</v>
      </c>
      <c r="D550" s="85" t="s">
        <v>197</v>
      </c>
      <c r="E550" s="85" t="s">
        <v>498</v>
      </c>
      <c r="F550" s="87" t="s">
        <v>627</v>
      </c>
      <c r="G550" s="230">
        <v>24</v>
      </c>
      <c r="H550" s="111">
        <v>0</v>
      </c>
      <c r="I550" s="88">
        <f t="shared" si="101"/>
        <v>0</v>
      </c>
      <c r="J550" s="75">
        <v>16.482</v>
      </c>
      <c r="K550" s="89">
        <f t="shared" si="102"/>
        <v>1.456133964324718</v>
      </c>
      <c r="L550" s="75">
        <f>16.482+6.904</f>
        <v>23.386</v>
      </c>
      <c r="M550" s="89">
        <f t="shared" si="103"/>
        <v>1.0262550243735569</v>
      </c>
    </row>
    <row r="551" spans="1:13" ht="12.75" customHeight="1">
      <c r="A551" s="108" t="s">
        <v>112</v>
      </c>
      <c r="B551" s="86" t="s">
        <v>497</v>
      </c>
      <c r="C551" s="85" t="s">
        <v>132</v>
      </c>
      <c r="D551" s="85" t="s">
        <v>626</v>
      </c>
      <c r="E551" s="85" t="s">
        <v>498</v>
      </c>
      <c r="F551" s="87" t="s">
        <v>628</v>
      </c>
      <c r="G551" s="230">
        <v>140</v>
      </c>
      <c r="H551" s="111">
        <v>0</v>
      </c>
      <c r="I551" s="88">
        <f t="shared" si="101"/>
        <v>0</v>
      </c>
      <c r="J551" s="75">
        <v>139.24</v>
      </c>
      <c r="K551" s="89">
        <f t="shared" si="102"/>
        <v>1.0054582016661877</v>
      </c>
      <c r="L551" s="75">
        <v>139.238</v>
      </c>
      <c r="M551" s="89">
        <f t="shared" si="103"/>
        <v>1.0054726439621369</v>
      </c>
    </row>
    <row r="552" spans="1:13" ht="12.75" customHeight="1">
      <c r="A552" s="108" t="s">
        <v>112</v>
      </c>
      <c r="B552" s="86" t="s">
        <v>497</v>
      </c>
      <c r="C552" s="85" t="s">
        <v>132</v>
      </c>
      <c r="D552" s="85" t="s">
        <v>295</v>
      </c>
      <c r="E552" s="85" t="s">
        <v>498</v>
      </c>
      <c r="F552" s="87" t="s">
        <v>625</v>
      </c>
      <c r="G552" s="230">
        <v>80</v>
      </c>
      <c r="H552" s="111">
        <v>60</v>
      </c>
      <c r="I552" s="88">
        <f t="shared" si="101"/>
        <v>1.3333333333333333</v>
      </c>
      <c r="J552" s="75">
        <v>58.55</v>
      </c>
      <c r="K552" s="89">
        <f t="shared" si="102"/>
        <v>1.3663535439795047</v>
      </c>
      <c r="L552" s="75">
        <v>38.844</v>
      </c>
      <c r="M552" s="89">
        <f t="shared" si="103"/>
        <v>2.0595201318092884</v>
      </c>
    </row>
    <row r="553" spans="1:13" ht="12.75" customHeight="1">
      <c r="A553" s="108" t="s">
        <v>112</v>
      </c>
      <c r="B553" s="86" t="s">
        <v>497</v>
      </c>
      <c r="C553" s="85" t="s">
        <v>132</v>
      </c>
      <c r="D553" s="85" t="s">
        <v>349</v>
      </c>
      <c r="E553" s="85" t="s">
        <v>498</v>
      </c>
      <c r="F553" s="87" t="s">
        <v>630</v>
      </c>
      <c r="G553" s="230">
        <v>0</v>
      </c>
      <c r="H553" s="111">
        <v>0</v>
      </c>
      <c r="I553" s="88">
        <f t="shared" si="101"/>
        <v>0</v>
      </c>
      <c r="J553" s="75">
        <v>100</v>
      </c>
      <c r="K553" s="89">
        <f t="shared" si="102"/>
        <v>0</v>
      </c>
      <c r="L553" s="75">
        <v>100</v>
      </c>
      <c r="M553" s="89">
        <f t="shared" si="103"/>
        <v>0</v>
      </c>
    </row>
    <row r="554" spans="1:13" ht="12.75" customHeight="1">
      <c r="A554" s="108" t="s">
        <v>112</v>
      </c>
      <c r="B554" s="86" t="s">
        <v>499</v>
      </c>
      <c r="C554" s="85" t="s">
        <v>132</v>
      </c>
      <c r="D554" s="85" t="s">
        <v>500</v>
      </c>
      <c r="E554" s="85" t="s">
        <v>501</v>
      </c>
      <c r="F554" s="87" t="s">
        <v>502</v>
      </c>
      <c r="G554" s="230">
        <v>200</v>
      </c>
      <c r="H554" s="111">
        <v>0</v>
      </c>
      <c r="I554" s="88">
        <f t="shared" si="101"/>
        <v>0</v>
      </c>
      <c r="J554" s="75">
        <v>40</v>
      </c>
      <c r="K554" s="89">
        <f t="shared" si="102"/>
        <v>5</v>
      </c>
      <c r="L554" s="75">
        <v>91.525</v>
      </c>
      <c r="M554" s="89">
        <f t="shared" si="103"/>
        <v>2.185195301830101</v>
      </c>
    </row>
    <row r="555" spans="1:13" ht="12.75" customHeight="1" thickBot="1">
      <c r="A555" s="108" t="s">
        <v>112</v>
      </c>
      <c r="B555" s="86" t="s">
        <v>499</v>
      </c>
      <c r="C555" s="85" t="s">
        <v>132</v>
      </c>
      <c r="D555" s="85" t="s">
        <v>349</v>
      </c>
      <c r="E555" s="85" t="s">
        <v>498</v>
      </c>
      <c r="F555" s="87" t="s">
        <v>785</v>
      </c>
      <c r="G555" s="230">
        <v>0</v>
      </c>
      <c r="H555" s="111">
        <v>0</v>
      </c>
      <c r="I555" s="88">
        <f>IF(H555=0,0,$G555/H555)</f>
        <v>0</v>
      </c>
      <c r="J555" s="75">
        <v>340</v>
      </c>
      <c r="K555" s="89">
        <f>IF(J555=0,0,$G555/J555)</f>
        <v>0</v>
      </c>
      <c r="L555" s="75">
        <v>0</v>
      </c>
      <c r="M555" s="89">
        <f>IF(L555=0,0,$G555/L555)</f>
        <v>0</v>
      </c>
    </row>
    <row r="556" spans="1:15" ht="12.75" customHeight="1">
      <c r="A556" s="109"/>
      <c r="B556" s="91" t="s">
        <v>11</v>
      </c>
      <c r="C556" s="90" t="s">
        <v>132</v>
      </c>
      <c r="D556" s="90"/>
      <c r="E556" s="90"/>
      <c r="F556" s="92"/>
      <c r="G556" s="231">
        <f aca="true" t="shared" si="104" ref="G556:L556">SUM(G545:G555)</f>
        <v>872</v>
      </c>
      <c r="H556" s="93">
        <f t="shared" si="104"/>
        <v>635</v>
      </c>
      <c r="I556" s="94">
        <f t="shared" si="101"/>
        <v>1.373228346456693</v>
      </c>
      <c r="J556" s="93">
        <f t="shared" si="104"/>
        <v>927.722</v>
      </c>
      <c r="K556" s="94">
        <f t="shared" si="102"/>
        <v>0.9399367482931309</v>
      </c>
      <c r="L556" s="93">
        <f t="shared" si="104"/>
        <v>484.84000000000003</v>
      </c>
      <c r="M556" s="94">
        <f t="shared" si="103"/>
        <v>1.7985314743008</v>
      </c>
      <c r="O556" s="80"/>
    </row>
    <row r="557" spans="9:13" ht="12.75" customHeight="1">
      <c r="I557" s="88"/>
      <c r="K557" s="89"/>
      <c r="M557" s="89"/>
    </row>
    <row r="558" spans="1:13" ht="12.75" customHeight="1">
      <c r="A558" s="108" t="s">
        <v>112</v>
      </c>
      <c r="B558" s="86" t="s">
        <v>503</v>
      </c>
      <c r="C558" s="85" t="s">
        <v>18</v>
      </c>
      <c r="D558" s="85" t="s">
        <v>266</v>
      </c>
      <c r="E558" s="85" t="s">
        <v>504</v>
      </c>
      <c r="F558" s="87" t="s">
        <v>800</v>
      </c>
      <c r="G558" s="230">
        <v>2439</v>
      </c>
      <c r="H558" s="111">
        <v>2231</v>
      </c>
      <c r="I558" s="88">
        <f aca="true" t="shared" si="105" ref="I558:I575">IF(H558=0,0,$G558/H558)</f>
        <v>1.09323173464814</v>
      </c>
      <c r="J558" s="75">
        <v>2266.19</v>
      </c>
      <c r="K558" s="89">
        <f aca="true" t="shared" si="106" ref="K558:K575">IF(J558=0,0,$G558/J558)</f>
        <v>1.0762557420163357</v>
      </c>
      <c r="L558" s="75">
        <v>1710.45</v>
      </c>
      <c r="M558" s="89">
        <f aca="true" t="shared" si="107" ref="M558:M575">IF(L558=0,0,$G558/L558)</f>
        <v>1.4259405419626414</v>
      </c>
    </row>
    <row r="559" spans="1:13" ht="12.75" customHeight="1">
      <c r="A559" s="108" t="s">
        <v>112</v>
      </c>
      <c r="B559" s="86" t="s">
        <v>503</v>
      </c>
      <c r="C559" s="85" t="s">
        <v>18</v>
      </c>
      <c r="D559" s="85" t="s">
        <v>217</v>
      </c>
      <c r="E559" s="85" t="s">
        <v>504</v>
      </c>
      <c r="F559" s="87" t="s">
        <v>300</v>
      </c>
      <c r="G559" s="230">
        <v>250</v>
      </c>
      <c r="H559" s="111">
        <v>300</v>
      </c>
      <c r="I559" s="88">
        <f t="shared" si="105"/>
        <v>0.8333333333333334</v>
      </c>
      <c r="J559" s="75">
        <v>300</v>
      </c>
      <c r="K559" s="89">
        <f t="shared" si="106"/>
        <v>0.8333333333333334</v>
      </c>
      <c r="L559" s="75">
        <v>179.108</v>
      </c>
      <c r="M559" s="89">
        <f t="shared" si="107"/>
        <v>1.3958058824843111</v>
      </c>
    </row>
    <row r="560" spans="1:13" ht="12.75" customHeight="1">
      <c r="A560" s="108" t="s">
        <v>112</v>
      </c>
      <c r="B560" s="86" t="s">
        <v>503</v>
      </c>
      <c r="C560" s="85" t="s">
        <v>18</v>
      </c>
      <c r="D560" s="85" t="s">
        <v>220</v>
      </c>
      <c r="E560" s="85" t="s">
        <v>504</v>
      </c>
      <c r="F560" s="87" t="s">
        <v>470</v>
      </c>
      <c r="G560" s="230">
        <v>673</v>
      </c>
      <c r="H560" s="111">
        <v>633</v>
      </c>
      <c r="I560" s="88">
        <f t="shared" si="105"/>
        <v>1.0631911532385465</v>
      </c>
      <c r="J560" s="75">
        <v>641.81</v>
      </c>
      <c r="K560" s="89">
        <f t="shared" si="106"/>
        <v>1.048596936788146</v>
      </c>
      <c r="L560" s="75">
        <v>470.478</v>
      </c>
      <c r="M560" s="89">
        <f t="shared" si="107"/>
        <v>1.4304600852749756</v>
      </c>
    </row>
    <row r="561" spans="1:13" ht="12.75" customHeight="1">
      <c r="A561" s="108" t="s">
        <v>112</v>
      </c>
      <c r="B561" s="86" t="s">
        <v>503</v>
      </c>
      <c r="C561" s="85" t="s">
        <v>18</v>
      </c>
      <c r="D561" s="85" t="s">
        <v>222</v>
      </c>
      <c r="E561" s="85" t="s">
        <v>504</v>
      </c>
      <c r="F561" s="87" t="s">
        <v>471</v>
      </c>
      <c r="G561" s="230">
        <v>242</v>
      </c>
      <c r="H561" s="111">
        <v>228</v>
      </c>
      <c r="I561" s="88">
        <f t="shared" si="105"/>
        <v>1.0614035087719298</v>
      </c>
      <c r="J561" s="75">
        <v>231.17</v>
      </c>
      <c r="K561" s="89">
        <f t="shared" si="106"/>
        <v>1.0468486395293508</v>
      </c>
      <c r="L561" s="75">
        <v>169.376</v>
      </c>
      <c r="M561" s="89">
        <f t="shared" si="107"/>
        <v>1.4287738522576987</v>
      </c>
    </row>
    <row r="562" spans="1:13" ht="12.75" customHeight="1">
      <c r="A562" s="108" t="s">
        <v>112</v>
      </c>
      <c r="B562" s="86" t="s">
        <v>503</v>
      </c>
      <c r="C562" s="85" t="s">
        <v>18</v>
      </c>
      <c r="D562" s="85" t="s">
        <v>211</v>
      </c>
      <c r="E562" s="85" t="s">
        <v>504</v>
      </c>
      <c r="F562" s="87" t="s">
        <v>224</v>
      </c>
      <c r="G562" s="230">
        <v>10</v>
      </c>
      <c r="H562" s="111">
        <v>0</v>
      </c>
      <c r="I562" s="88">
        <f t="shared" si="105"/>
        <v>0</v>
      </c>
      <c r="J562" s="75">
        <v>0</v>
      </c>
      <c r="K562" s="89">
        <f t="shared" si="106"/>
        <v>0</v>
      </c>
      <c r="L562" s="75">
        <v>0.249</v>
      </c>
      <c r="M562" s="89">
        <f t="shared" si="107"/>
        <v>40.16064257028113</v>
      </c>
    </row>
    <row r="563" spans="1:13" ht="12.75" customHeight="1">
      <c r="A563" s="108" t="s">
        <v>112</v>
      </c>
      <c r="B563" s="86" t="s">
        <v>503</v>
      </c>
      <c r="C563" s="85" t="s">
        <v>18</v>
      </c>
      <c r="D563" s="85" t="s">
        <v>225</v>
      </c>
      <c r="E563" s="85" t="s">
        <v>504</v>
      </c>
      <c r="F563" s="87" t="s">
        <v>472</v>
      </c>
      <c r="G563" s="230">
        <v>0</v>
      </c>
      <c r="H563" s="111">
        <v>10</v>
      </c>
      <c r="I563" s="88">
        <f t="shared" si="105"/>
        <v>0</v>
      </c>
      <c r="J563" s="75">
        <v>10</v>
      </c>
      <c r="K563" s="89">
        <f t="shared" si="106"/>
        <v>0</v>
      </c>
      <c r="L563" s="75">
        <v>7.922</v>
      </c>
      <c r="M563" s="89">
        <f t="shared" si="107"/>
        <v>0</v>
      </c>
    </row>
    <row r="564" spans="1:13" ht="12.75" customHeight="1">
      <c r="A564" s="108" t="s">
        <v>112</v>
      </c>
      <c r="B564" s="86" t="s">
        <v>503</v>
      </c>
      <c r="C564" s="85" t="s">
        <v>18</v>
      </c>
      <c r="D564" s="85" t="s">
        <v>227</v>
      </c>
      <c r="E564" s="85" t="s">
        <v>504</v>
      </c>
      <c r="F564" s="87" t="s">
        <v>473</v>
      </c>
      <c r="G564" s="230">
        <v>5</v>
      </c>
      <c r="H564" s="111">
        <v>5</v>
      </c>
      <c r="I564" s="88">
        <f t="shared" si="105"/>
        <v>1</v>
      </c>
      <c r="J564" s="75">
        <v>5</v>
      </c>
      <c r="K564" s="89">
        <f t="shared" si="106"/>
        <v>1</v>
      </c>
      <c r="L564" s="75">
        <v>4.398</v>
      </c>
      <c r="M564" s="89">
        <f t="shared" si="107"/>
        <v>1.1368804001819008</v>
      </c>
    </row>
    <row r="565" spans="1:13" ht="12.75" customHeight="1">
      <c r="A565" s="108" t="s">
        <v>112</v>
      </c>
      <c r="B565" s="86" t="s">
        <v>503</v>
      </c>
      <c r="C565" s="85" t="s">
        <v>18</v>
      </c>
      <c r="D565" s="85" t="s">
        <v>176</v>
      </c>
      <c r="E565" s="85" t="s">
        <v>504</v>
      </c>
      <c r="F565" s="87" t="s">
        <v>229</v>
      </c>
      <c r="G565" s="230">
        <v>15</v>
      </c>
      <c r="H565" s="111">
        <v>15</v>
      </c>
      <c r="I565" s="88">
        <f t="shared" si="105"/>
        <v>1</v>
      </c>
      <c r="J565" s="75">
        <v>15</v>
      </c>
      <c r="K565" s="89">
        <f t="shared" si="106"/>
        <v>1</v>
      </c>
      <c r="L565" s="75">
        <v>11.359</v>
      </c>
      <c r="M565" s="89">
        <f t="shared" si="107"/>
        <v>1.3205387798221675</v>
      </c>
    </row>
    <row r="566" spans="1:13" ht="12.75" customHeight="1">
      <c r="A566" s="108" t="s">
        <v>112</v>
      </c>
      <c r="B566" s="86" t="s">
        <v>503</v>
      </c>
      <c r="C566" s="85" t="s">
        <v>18</v>
      </c>
      <c r="D566" s="85" t="s">
        <v>233</v>
      </c>
      <c r="E566" s="85" t="s">
        <v>504</v>
      </c>
      <c r="F566" s="87" t="s">
        <v>234</v>
      </c>
      <c r="G566" s="230">
        <v>40</v>
      </c>
      <c r="H566" s="111">
        <v>40</v>
      </c>
      <c r="I566" s="88">
        <f t="shared" si="105"/>
        <v>1</v>
      </c>
      <c r="J566" s="75">
        <v>40</v>
      </c>
      <c r="K566" s="89">
        <f t="shared" si="106"/>
        <v>1</v>
      </c>
      <c r="L566" s="75">
        <v>25.088</v>
      </c>
      <c r="M566" s="89">
        <f t="shared" si="107"/>
        <v>1.5943877551020407</v>
      </c>
    </row>
    <row r="567" spans="1:13" ht="12.75" customHeight="1">
      <c r="A567" s="108" t="s">
        <v>112</v>
      </c>
      <c r="B567" s="86" t="s">
        <v>503</v>
      </c>
      <c r="C567" s="85" t="s">
        <v>18</v>
      </c>
      <c r="D567" s="85" t="s">
        <v>187</v>
      </c>
      <c r="E567" s="85" t="s">
        <v>504</v>
      </c>
      <c r="F567" s="87" t="s">
        <v>235</v>
      </c>
      <c r="G567" s="230">
        <v>20</v>
      </c>
      <c r="H567" s="111">
        <v>14.9</v>
      </c>
      <c r="I567" s="88">
        <f t="shared" si="105"/>
        <v>1.342281879194631</v>
      </c>
      <c r="J567" s="75">
        <v>14.9</v>
      </c>
      <c r="K567" s="89">
        <f t="shared" si="106"/>
        <v>1.342281879194631</v>
      </c>
      <c r="L567" s="75">
        <v>8.347</v>
      </c>
      <c r="M567" s="89">
        <f t="shared" si="107"/>
        <v>2.3960704444710674</v>
      </c>
    </row>
    <row r="568" spans="1:13" ht="12.75" customHeight="1">
      <c r="A568" s="108" t="s">
        <v>112</v>
      </c>
      <c r="B568" s="86" t="s">
        <v>503</v>
      </c>
      <c r="C568" s="85" t="s">
        <v>18</v>
      </c>
      <c r="D568" s="85" t="s">
        <v>236</v>
      </c>
      <c r="E568" s="85" t="s">
        <v>504</v>
      </c>
      <c r="F568" s="87" t="s">
        <v>291</v>
      </c>
      <c r="G568" s="230">
        <v>40.8</v>
      </c>
      <c r="H568" s="111">
        <v>44</v>
      </c>
      <c r="I568" s="88">
        <f t="shared" si="105"/>
        <v>0.9272727272727272</v>
      </c>
      <c r="J568" s="75">
        <v>16.86</v>
      </c>
      <c r="K568" s="89">
        <f t="shared" si="106"/>
        <v>2.4199288256227756</v>
      </c>
      <c r="L568" s="75">
        <v>12.15</v>
      </c>
      <c r="M568" s="89">
        <f t="shared" si="107"/>
        <v>3.3580246913580245</v>
      </c>
    </row>
    <row r="569" spans="1:13" ht="12.75" customHeight="1">
      <c r="A569" s="108" t="s">
        <v>112</v>
      </c>
      <c r="B569" s="86" t="s">
        <v>503</v>
      </c>
      <c r="C569" s="85" t="s">
        <v>18</v>
      </c>
      <c r="D569" s="85" t="s">
        <v>191</v>
      </c>
      <c r="E569" s="85" t="s">
        <v>504</v>
      </c>
      <c r="F569" s="87" t="s">
        <v>238</v>
      </c>
      <c r="G569" s="230">
        <v>20</v>
      </c>
      <c r="H569" s="111">
        <v>50</v>
      </c>
      <c r="I569" s="88">
        <f t="shared" si="105"/>
        <v>0.4</v>
      </c>
      <c r="J569" s="75">
        <v>50</v>
      </c>
      <c r="K569" s="89">
        <f t="shared" si="106"/>
        <v>0.4</v>
      </c>
      <c r="L569" s="75">
        <v>6.827</v>
      </c>
      <c r="M569" s="89">
        <f t="shared" si="107"/>
        <v>2.9295444558371173</v>
      </c>
    </row>
    <row r="570" spans="1:13" ht="12.75" customHeight="1">
      <c r="A570" s="108" t="s">
        <v>112</v>
      </c>
      <c r="B570" s="86" t="s">
        <v>503</v>
      </c>
      <c r="C570" s="85" t="s">
        <v>18</v>
      </c>
      <c r="D570" s="85" t="s">
        <v>193</v>
      </c>
      <c r="E570" s="85" t="s">
        <v>504</v>
      </c>
      <c r="F570" s="87" t="s">
        <v>459</v>
      </c>
      <c r="G570" s="230">
        <v>25</v>
      </c>
      <c r="H570" s="111">
        <v>25</v>
      </c>
      <c r="I570" s="88">
        <f t="shared" si="105"/>
        <v>1</v>
      </c>
      <c r="J570" s="75">
        <v>25</v>
      </c>
      <c r="K570" s="89">
        <f t="shared" si="106"/>
        <v>1</v>
      </c>
      <c r="L570" s="75">
        <v>14.267</v>
      </c>
      <c r="M570" s="89">
        <f t="shared" si="107"/>
        <v>1.7522955071143198</v>
      </c>
    </row>
    <row r="571" spans="1:13" ht="12.75" customHeight="1">
      <c r="A571" s="108" t="s">
        <v>112</v>
      </c>
      <c r="B571" s="86" t="s">
        <v>503</v>
      </c>
      <c r="C571" s="85" t="s">
        <v>18</v>
      </c>
      <c r="D571" s="85" t="s">
        <v>256</v>
      </c>
      <c r="E571" s="85" t="s">
        <v>504</v>
      </c>
      <c r="F571" s="87" t="s">
        <v>257</v>
      </c>
      <c r="G571" s="230">
        <v>5</v>
      </c>
      <c r="H571" s="111">
        <v>15</v>
      </c>
      <c r="I571" s="88">
        <f t="shared" si="105"/>
        <v>0.3333333333333333</v>
      </c>
      <c r="J571" s="75">
        <v>15</v>
      </c>
      <c r="K571" s="89">
        <f t="shared" si="106"/>
        <v>0.3333333333333333</v>
      </c>
      <c r="L571" s="75">
        <v>1.749</v>
      </c>
      <c r="M571" s="89">
        <f t="shared" si="107"/>
        <v>2.8587764436821037</v>
      </c>
    </row>
    <row r="572" spans="1:13" ht="12.75" customHeight="1">
      <c r="A572" s="108" t="s">
        <v>112</v>
      </c>
      <c r="B572" s="86" t="s">
        <v>503</v>
      </c>
      <c r="C572" s="85" t="s">
        <v>18</v>
      </c>
      <c r="D572" s="85" t="s">
        <v>195</v>
      </c>
      <c r="E572" s="85" t="s">
        <v>504</v>
      </c>
      <c r="F572" s="87" t="s">
        <v>258</v>
      </c>
      <c r="G572" s="230">
        <v>5</v>
      </c>
      <c r="H572" s="111">
        <v>0</v>
      </c>
      <c r="I572" s="88">
        <f t="shared" si="105"/>
        <v>0</v>
      </c>
      <c r="J572" s="75">
        <v>3</v>
      </c>
      <c r="K572" s="89">
        <f t="shared" si="106"/>
        <v>1.6666666666666667</v>
      </c>
      <c r="L572" s="75">
        <v>2.052</v>
      </c>
      <c r="M572" s="89">
        <f t="shared" si="107"/>
        <v>2.4366471734892787</v>
      </c>
    </row>
    <row r="573" spans="1:13" ht="12.75" customHeight="1">
      <c r="A573" s="108" t="s">
        <v>112</v>
      </c>
      <c r="B573" s="86" t="s">
        <v>503</v>
      </c>
      <c r="C573" s="85" t="s">
        <v>18</v>
      </c>
      <c r="D573" s="85" t="s">
        <v>505</v>
      </c>
      <c r="E573" s="85" t="s">
        <v>504</v>
      </c>
      <c r="F573" s="87" t="s">
        <v>506</v>
      </c>
      <c r="G573" s="230">
        <v>30</v>
      </c>
      <c r="H573" s="111">
        <v>10</v>
      </c>
      <c r="I573" s="88">
        <f t="shared" si="105"/>
        <v>3</v>
      </c>
      <c r="J573" s="75">
        <v>10</v>
      </c>
      <c r="K573" s="89">
        <f t="shared" si="106"/>
        <v>3</v>
      </c>
      <c r="L573" s="75">
        <v>19.4</v>
      </c>
      <c r="M573" s="89">
        <f t="shared" si="107"/>
        <v>1.5463917525773196</v>
      </c>
    </row>
    <row r="574" spans="1:13" ht="12.75" customHeight="1" thickBot="1">
      <c r="A574" s="108" t="s">
        <v>112</v>
      </c>
      <c r="B574" s="86" t="s">
        <v>503</v>
      </c>
      <c r="C574" s="85" t="s">
        <v>18</v>
      </c>
      <c r="D574" s="85" t="s">
        <v>368</v>
      </c>
      <c r="E574" s="85" t="s">
        <v>504</v>
      </c>
      <c r="F574" s="87" t="s">
        <v>669</v>
      </c>
      <c r="G574" s="230">
        <v>0</v>
      </c>
      <c r="H574" s="111">
        <v>0</v>
      </c>
      <c r="I574" s="88">
        <f t="shared" si="105"/>
        <v>0</v>
      </c>
      <c r="J574" s="75">
        <v>0</v>
      </c>
      <c r="K574" s="89">
        <f t="shared" si="106"/>
        <v>0</v>
      </c>
      <c r="L574" s="75">
        <v>1.85</v>
      </c>
      <c r="M574" s="89">
        <f t="shared" si="107"/>
        <v>0</v>
      </c>
    </row>
    <row r="575" spans="1:15" ht="12.75" customHeight="1">
      <c r="A575" s="109"/>
      <c r="B575" s="91" t="s">
        <v>11</v>
      </c>
      <c r="C575" s="90" t="s">
        <v>18</v>
      </c>
      <c r="D575" s="90"/>
      <c r="E575" s="90"/>
      <c r="F575" s="92"/>
      <c r="G575" s="231">
        <f>SUM(G558:G574)</f>
        <v>3819.8</v>
      </c>
      <c r="H575" s="93">
        <f>SUM(H558:H574)</f>
        <v>3620.9</v>
      </c>
      <c r="I575" s="94">
        <f t="shared" si="105"/>
        <v>1.0549310944792731</v>
      </c>
      <c r="J575" s="93">
        <f>SUM(J558:J574)</f>
        <v>3643.9300000000003</v>
      </c>
      <c r="K575" s="94">
        <f t="shared" si="106"/>
        <v>1.0482638250460354</v>
      </c>
      <c r="L575" s="93">
        <f>SUM(L558:L574)</f>
        <v>2645.0700000000006</v>
      </c>
      <c r="M575" s="94">
        <f t="shared" si="107"/>
        <v>1.4441205714782592</v>
      </c>
      <c r="O575" s="80"/>
    </row>
    <row r="576" spans="9:13" ht="12.75" customHeight="1">
      <c r="I576" s="88"/>
      <c r="K576" s="89"/>
      <c r="M576" s="89"/>
    </row>
    <row r="577" spans="1:13" ht="12.75" customHeight="1">
      <c r="A577" s="108" t="s">
        <v>112</v>
      </c>
      <c r="B577" s="86" t="s">
        <v>507</v>
      </c>
      <c r="C577" s="85" t="s">
        <v>508</v>
      </c>
      <c r="D577" s="85" t="s">
        <v>509</v>
      </c>
      <c r="E577" s="85" t="s">
        <v>510</v>
      </c>
      <c r="F577" s="87" t="s">
        <v>511</v>
      </c>
      <c r="G577" s="230">
        <v>300</v>
      </c>
      <c r="H577" s="111">
        <v>300</v>
      </c>
      <c r="I577" s="88">
        <f>IF(H577=0,0,$G577/H577)</f>
        <v>1</v>
      </c>
      <c r="J577" s="75">
        <v>300</v>
      </c>
      <c r="K577" s="89">
        <f>IF(J577=0,0,$G577/J577)</f>
        <v>1</v>
      </c>
      <c r="L577" s="75">
        <v>289.772</v>
      </c>
      <c r="M577" s="89">
        <f>IF(L577=0,0,$G577/L577)</f>
        <v>1.0352967160388167</v>
      </c>
    </row>
    <row r="578" spans="1:13" ht="12.75" customHeight="1">
      <c r="A578" s="108" t="s">
        <v>112</v>
      </c>
      <c r="B578" s="86" t="s">
        <v>507</v>
      </c>
      <c r="C578" s="85" t="s">
        <v>508</v>
      </c>
      <c r="D578" s="85" t="s">
        <v>429</v>
      </c>
      <c r="E578" s="85" t="s">
        <v>510</v>
      </c>
      <c r="F578" s="87" t="s">
        <v>507</v>
      </c>
      <c r="G578" s="230">
        <v>400</v>
      </c>
      <c r="H578" s="111">
        <v>375</v>
      </c>
      <c r="I578" s="88">
        <f>IF(H578=0,0,$G578/H578)</f>
        <v>1.0666666666666667</v>
      </c>
      <c r="J578" s="75">
        <v>375</v>
      </c>
      <c r="K578" s="89">
        <f>IF(J578=0,0,$G578/J578)</f>
        <v>1.0666666666666667</v>
      </c>
      <c r="L578" s="75">
        <v>309.763</v>
      </c>
      <c r="M578" s="89">
        <f>IF(L578=0,0,$G578/L578)</f>
        <v>1.291309807820818</v>
      </c>
    </row>
    <row r="579" spans="1:13" ht="12.75" customHeight="1" thickBot="1">
      <c r="A579" s="108" t="s">
        <v>112</v>
      </c>
      <c r="B579" s="86" t="s">
        <v>507</v>
      </c>
      <c r="C579" s="85" t="s">
        <v>508</v>
      </c>
      <c r="D579" s="85" t="s">
        <v>614</v>
      </c>
      <c r="E579" s="85" t="s">
        <v>510</v>
      </c>
      <c r="F579" s="87" t="s">
        <v>647</v>
      </c>
      <c r="G579" s="230">
        <v>3</v>
      </c>
      <c r="H579" s="111">
        <v>3</v>
      </c>
      <c r="I579" s="88">
        <f>IF(H579=0,0,$G579/H579)</f>
        <v>1</v>
      </c>
      <c r="J579" s="75">
        <v>3</v>
      </c>
      <c r="K579" s="89">
        <f>IF(J579=0,0,$G579/J579)</f>
        <v>1</v>
      </c>
      <c r="L579" s="75">
        <v>3</v>
      </c>
      <c r="M579" s="89">
        <f>IF(L579=0,0,$G579/L579)</f>
        <v>1</v>
      </c>
    </row>
    <row r="580" spans="1:15" ht="12.75" customHeight="1">
      <c r="A580" s="109"/>
      <c r="B580" s="91" t="s">
        <v>11</v>
      </c>
      <c r="C580" s="90" t="s">
        <v>508</v>
      </c>
      <c r="D580" s="90"/>
      <c r="E580" s="90"/>
      <c r="F580" s="92"/>
      <c r="G580" s="231">
        <f>SUM(G577:G579)</f>
        <v>703</v>
      </c>
      <c r="H580" s="93">
        <f>SUM(H577:H579)</f>
        <v>678</v>
      </c>
      <c r="I580" s="94">
        <f>IF(H580=0,0,$G580/H580)</f>
        <v>1.036873156342183</v>
      </c>
      <c r="J580" s="93">
        <f>SUM(J577:J579)</f>
        <v>678</v>
      </c>
      <c r="K580" s="94">
        <f>IF(J580=0,0,$G580/J580)</f>
        <v>1.036873156342183</v>
      </c>
      <c r="L580" s="93">
        <f>SUM(L577:L579)</f>
        <v>602.535</v>
      </c>
      <c r="M580" s="94">
        <f>IF(L580=0,0,$G580/L580)</f>
        <v>1.1667372019882662</v>
      </c>
      <c r="O580" s="80"/>
    </row>
    <row r="581" spans="9:13" ht="12.75" customHeight="1">
      <c r="I581" s="88"/>
      <c r="K581" s="89"/>
      <c r="M581" s="89"/>
    </row>
    <row r="582" spans="1:15" ht="12.75" customHeight="1">
      <c r="A582" s="107"/>
      <c r="B582" s="95" t="s">
        <v>137</v>
      </c>
      <c r="C582" s="81"/>
      <c r="D582" s="81"/>
      <c r="E582" s="81"/>
      <c r="F582" s="96"/>
      <c r="G582" s="232">
        <f>SUM(G463,G471,G493,G512,G526,G536,G543,G556,G575,G580)</f>
        <v>27995.2</v>
      </c>
      <c r="H582" s="103">
        <f>SUM(H463,H471,H493,H512,H526,H536,H543,H556,H575,H580)</f>
        <v>29388.070000000003</v>
      </c>
      <c r="I582" s="98">
        <f>IF(H582=0,0,$G582/H582)</f>
        <v>0.9526042370254324</v>
      </c>
      <c r="J582" s="97">
        <f>SUM(J463,J471,J493,J512,J526,J536,J543,J556,J575,J580)</f>
        <v>81842.80599999998</v>
      </c>
      <c r="K582" s="99">
        <f>IF(J582=0,0,$G582/J582)</f>
        <v>0.34206060823476664</v>
      </c>
      <c r="L582" s="97">
        <f>SUM(L463,L471,L493,L512,L526,L536,L543,L556,L575,L580)</f>
        <v>35499.91900000001</v>
      </c>
      <c r="M582" s="99">
        <f>IF(L582=0,0,$G582/L582)</f>
        <v>0.7885989824371147</v>
      </c>
      <c r="O582" s="80"/>
    </row>
    <row r="583" spans="9:13" ht="12.75" customHeight="1">
      <c r="I583" s="88"/>
      <c r="K583" s="89"/>
      <c r="M583" s="89"/>
    </row>
    <row r="584" spans="9:13" ht="12.75" customHeight="1">
      <c r="I584" s="88"/>
      <c r="K584" s="89"/>
      <c r="M584" s="89"/>
    </row>
    <row r="585" spans="1:13" ht="12.75" customHeight="1">
      <c r="A585" s="108" t="s">
        <v>138</v>
      </c>
      <c r="B585" s="86" t="s">
        <v>512</v>
      </c>
      <c r="C585" s="85" t="s">
        <v>456</v>
      </c>
      <c r="D585" s="85" t="s">
        <v>176</v>
      </c>
      <c r="E585" s="85" t="s">
        <v>513</v>
      </c>
      <c r="F585" s="87" t="s">
        <v>178</v>
      </c>
      <c r="G585" s="230">
        <v>400</v>
      </c>
      <c r="H585" s="111">
        <v>400</v>
      </c>
      <c r="I585" s="88">
        <f>IF(H585=0,0,$G585/H585)</f>
        <v>1</v>
      </c>
      <c r="J585" s="75">
        <f>400-50</f>
        <v>350</v>
      </c>
      <c r="K585" s="89">
        <f>IF(J585=0,0,$G585/J585)</f>
        <v>1.1428571428571428</v>
      </c>
      <c r="L585" s="75">
        <v>301.825</v>
      </c>
      <c r="M585" s="89">
        <f>IF(L585=0,0,$G585/L585)</f>
        <v>1.325271266462354</v>
      </c>
    </row>
    <row r="586" spans="1:13" ht="12.75" customHeight="1">
      <c r="A586" s="108" t="s">
        <v>138</v>
      </c>
      <c r="B586" s="86" t="s">
        <v>512</v>
      </c>
      <c r="C586" s="85" t="s">
        <v>456</v>
      </c>
      <c r="D586" s="85" t="s">
        <v>240</v>
      </c>
      <c r="E586" s="85" t="s">
        <v>513</v>
      </c>
      <c r="F586" s="87" t="s">
        <v>514</v>
      </c>
      <c r="G586" s="230">
        <v>82.692</v>
      </c>
      <c r="H586" s="111">
        <v>85</v>
      </c>
      <c r="I586" s="88">
        <f>IF(H586=0,0,$G586/H586)</f>
        <v>0.9728470588235293</v>
      </c>
      <c r="J586" s="75">
        <v>85</v>
      </c>
      <c r="K586" s="89">
        <f>IF(J586=0,0,$G586/J586)</f>
        <v>0.9728470588235293</v>
      </c>
      <c r="L586" s="75">
        <v>68.91</v>
      </c>
      <c r="M586" s="89">
        <f>IF(L586=0,0,$G586/L586)</f>
        <v>1.2</v>
      </c>
    </row>
    <row r="587" spans="1:13" ht="12.75" customHeight="1" thickBot="1">
      <c r="A587" s="108" t="s">
        <v>138</v>
      </c>
      <c r="B587" s="86" t="s">
        <v>512</v>
      </c>
      <c r="C587" s="85" t="s">
        <v>456</v>
      </c>
      <c r="D587" s="85" t="s">
        <v>349</v>
      </c>
      <c r="E587" s="85" t="s">
        <v>513</v>
      </c>
      <c r="F587" s="87" t="s">
        <v>785</v>
      </c>
      <c r="G587" s="230">
        <v>0</v>
      </c>
      <c r="H587" s="111">
        <v>0</v>
      </c>
      <c r="I587" s="88">
        <f>IF(H587=0,0,$G587/H587)</f>
        <v>0</v>
      </c>
      <c r="J587" s="75">
        <v>50</v>
      </c>
      <c r="K587" s="89">
        <f>IF(J587=0,0,$G587/J587)</f>
        <v>0</v>
      </c>
      <c r="L587" s="75">
        <v>0</v>
      </c>
      <c r="M587" s="89">
        <f>IF(L587=0,0,$G587/L587)</f>
        <v>0</v>
      </c>
    </row>
    <row r="588" spans="1:15" ht="12.75" customHeight="1">
      <c r="A588" s="109"/>
      <c r="B588" s="91" t="s">
        <v>11</v>
      </c>
      <c r="C588" s="90" t="s">
        <v>456</v>
      </c>
      <c r="D588" s="90"/>
      <c r="E588" s="90"/>
      <c r="F588" s="92"/>
      <c r="G588" s="231">
        <f>SUM(G585:G587)</f>
        <v>482.692</v>
      </c>
      <c r="H588" s="93">
        <f>SUM(H585:H587)</f>
        <v>485</v>
      </c>
      <c r="I588" s="94">
        <f>IF(H588=0,0,$G588/H588)</f>
        <v>0.9952412371134021</v>
      </c>
      <c r="J588" s="93">
        <f>SUM(J585:J587)</f>
        <v>485</v>
      </c>
      <c r="K588" s="94">
        <f>IF(J588=0,0,$G588/J588)</f>
        <v>0.9952412371134021</v>
      </c>
      <c r="L588" s="93">
        <f>SUM(L585:L587)</f>
        <v>370.735</v>
      </c>
      <c r="M588" s="94">
        <f>IF(L588=0,0,$G588/L588)</f>
        <v>1.301986594198012</v>
      </c>
      <c r="O588" s="80"/>
    </row>
    <row r="589" spans="9:13" ht="12.75" customHeight="1">
      <c r="I589" s="88"/>
      <c r="K589" s="89"/>
      <c r="M589" s="89"/>
    </row>
    <row r="590" spans="1:13" ht="12.75" customHeight="1">
      <c r="A590" s="108" t="s">
        <v>138</v>
      </c>
      <c r="B590" s="86" t="s">
        <v>515</v>
      </c>
      <c r="C590" s="85" t="s">
        <v>464</v>
      </c>
      <c r="D590" s="85" t="s">
        <v>176</v>
      </c>
      <c r="E590" s="85" t="s">
        <v>516</v>
      </c>
      <c r="F590" s="87" t="s">
        <v>178</v>
      </c>
      <c r="G590" s="230">
        <v>80</v>
      </c>
      <c r="H590" s="111">
        <v>30</v>
      </c>
      <c r="I590" s="88">
        <f aca="true" t="shared" si="108" ref="I590:I595">IF(H590=0,0,$G590/H590)</f>
        <v>2.6666666666666665</v>
      </c>
      <c r="J590" s="75">
        <v>90</v>
      </c>
      <c r="K590" s="89">
        <f aca="true" t="shared" si="109" ref="K590:K595">IF(J590=0,0,$G590/J590)</f>
        <v>0.8888888888888888</v>
      </c>
      <c r="L590" s="75">
        <v>12.5</v>
      </c>
      <c r="M590" s="89">
        <f aca="true" t="shared" si="110" ref="M590:M595">IF(L590=0,0,$G590/L590)</f>
        <v>6.4</v>
      </c>
    </row>
    <row r="591" spans="1:13" ht="12.75" customHeight="1">
      <c r="A591" s="108" t="s">
        <v>138</v>
      </c>
      <c r="B591" s="86" t="s">
        <v>515</v>
      </c>
      <c r="C591" s="85" t="s">
        <v>464</v>
      </c>
      <c r="D591" s="85" t="s">
        <v>193</v>
      </c>
      <c r="E591" s="85" t="s">
        <v>516</v>
      </c>
      <c r="F591" s="87" t="s">
        <v>517</v>
      </c>
      <c r="G591" s="230">
        <v>30</v>
      </c>
      <c r="H591" s="111">
        <v>50</v>
      </c>
      <c r="I591" s="88">
        <f t="shared" si="108"/>
        <v>0.6</v>
      </c>
      <c r="J591" s="75">
        <v>50</v>
      </c>
      <c r="K591" s="89">
        <f t="shared" si="109"/>
        <v>0.6</v>
      </c>
      <c r="L591" s="75">
        <v>20.616</v>
      </c>
      <c r="M591" s="89">
        <f t="shared" si="110"/>
        <v>1.4551804423748544</v>
      </c>
    </row>
    <row r="592" spans="1:13" ht="12.75" customHeight="1">
      <c r="A592" s="108" t="s">
        <v>138</v>
      </c>
      <c r="B592" s="86" t="s">
        <v>515</v>
      </c>
      <c r="C592" s="85" t="s">
        <v>464</v>
      </c>
      <c r="D592" s="85" t="s">
        <v>240</v>
      </c>
      <c r="E592" s="85" t="s">
        <v>516</v>
      </c>
      <c r="F592" s="87" t="s">
        <v>518</v>
      </c>
      <c r="G592" s="230">
        <v>164.424</v>
      </c>
      <c r="H592" s="111">
        <v>165</v>
      </c>
      <c r="I592" s="88">
        <f t="shared" si="108"/>
        <v>0.9965090909090909</v>
      </c>
      <c r="J592" s="75">
        <v>165</v>
      </c>
      <c r="K592" s="89">
        <f t="shared" si="109"/>
        <v>0.9965090909090909</v>
      </c>
      <c r="L592" s="75">
        <v>137.02</v>
      </c>
      <c r="M592" s="89">
        <f t="shared" si="110"/>
        <v>1.2</v>
      </c>
    </row>
    <row r="593" spans="1:13" ht="12.75" customHeight="1">
      <c r="A593" s="108" t="s">
        <v>138</v>
      </c>
      <c r="B593" s="86" t="s">
        <v>519</v>
      </c>
      <c r="C593" s="85" t="s">
        <v>464</v>
      </c>
      <c r="D593" s="85" t="s">
        <v>478</v>
      </c>
      <c r="E593" s="85" t="s">
        <v>520</v>
      </c>
      <c r="F593" s="87" t="s">
        <v>144</v>
      </c>
      <c r="G593" s="230">
        <v>0</v>
      </c>
      <c r="H593" s="111">
        <v>0</v>
      </c>
      <c r="I593" s="88">
        <f t="shared" si="108"/>
        <v>0</v>
      </c>
      <c r="J593" s="75">
        <v>40.36</v>
      </c>
      <c r="K593" s="89">
        <f t="shared" si="109"/>
        <v>0</v>
      </c>
      <c r="L593" s="75">
        <v>40.36</v>
      </c>
      <c r="M593" s="89">
        <f t="shared" si="110"/>
        <v>0</v>
      </c>
    </row>
    <row r="594" spans="1:13" ht="12.75" customHeight="1" thickBot="1">
      <c r="A594" s="108" t="s">
        <v>138</v>
      </c>
      <c r="B594" s="86" t="s">
        <v>519</v>
      </c>
      <c r="C594" s="85" t="s">
        <v>464</v>
      </c>
      <c r="D594" s="85" t="s">
        <v>478</v>
      </c>
      <c r="E594" s="85" t="s">
        <v>520</v>
      </c>
      <c r="F594" s="87" t="s">
        <v>144</v>
      </c>
      <c r="G594" s="230">
        <v>0</v>
      </c>
      <c r="H594" s="111">
        <v>0</v>
      </c>
      <c r="I594" s="88">
        <f t="shared" si="108"/>
        <v>0</v>
      </c>
      <c r="J594" s="75">
        <v>40.36</v>
      </c>
      <c r="K594" s="89">
        <f t="shared" si="109"/>
        <v>0</v>
      </c>
      <c r="L594" s="75">
        <v>40.36</v>
      </c>
      <c r="M594" s="89">
        <f t="shared" si="110"/>
        <v>0</v>
      </c>
    </row>
    <row r="595" spans="1:15" ht="12.75" customHeight="1">
      <c r="A595" s="109"/>
      <c r="B595" s="91" t="s">
        <v>11</v>
      </c>
      <c r="C595" s="90" t="s">
        <v>464</v>
      </c>
      <c r="D595" s="90"/>
      <c r="E595" s="90"/>
      <c r="F595" s="92"/>
      <c r="G595" s="231">
        <f>SUM(G590:G594)</f>
        <v>274.424</v>
      </c>
      <c r="H595" s="93">
        <f>SUM(H590:H594)</f>
        <v>245</v>
      </c>
      <c r="I595" s="94">
        <f t="shared" si="108"/>
        <v>1.1200979591836733</v>
      </c>
      <c r="J595" s="93">
        <f>SUM(J590:J594)</f>
        <v>385.72</v>
      </c>
      <c r="K595" s="94">
        <f t="shared" si="109"/>
        <v>0.7114590894949704</v>
      </c>
      <c r="L595" s="93">
        <f>SUM(L590:L594)</f>
        <v>250.85600000000005</v>
      </c>
      <c r="M595" s="94">
        <f t="shared" si="110"/>
        <v>1.0939503141244376</v>
      </c>
      <c r="O595" s="80"/>
    </row>
    <row r="596" spans="9:13" ht="12.75" customHeight="1">
      <c r="I596" s="88"/>
      <c r="K596" s="89"/>
      <c r="M596" s="89"/>
    </row>
    <row r="597" spans="1:13" ht="12.75" customHeight="1">
      <c r="A597" s="108" t="s">
        <v>138</v>
      </c>
      <c r="B597" s="86" t="s">
        <v>521</v>
      </c>
      <c r="C597" s="85" t="s">
        <v>522</v>
      </c>
      <c r="D597" s="85" t="s">
        <v>176</v>
      </c>
      <c r="E597" s="85" t="s">
        <v>523</v>
      </c>
      <c r="F597" s="87" t="s">
        <v>178</v>
      </c>
      <c r="G597" s="230">
        <v>90</v>
      </c>
      <c r="H597" s="111">
        <v>90</v>
      </c>
      <c r="I597" s="88">
        <f>IF(H597=0,0,$G597/H597)</f>
        <v>1</v>
      </c>
      <c r="J597" s="75">
        <f>120-20+8.768</f>
        <v>108.768</v>
      </c>
      <c r="K597" s="89">
        <f>IF(J597=0,0,$G597/J597)</f>
        <v>0.8274492497793469</v>
      </c>
      <c r="L597" s="75">
        <v>108.448</v>
      </c>
      <c r="M597" s="89">
        <f>IF(L597=0,0,$G597/L597)</f>
        <v>0.8298908232516967</v>
      </c>
    </row>
    <row r="598" spans="1:13" ht="12.75" customHeight="1">
      <c r="A598" s="108" t="s">
        <v>138</v>
      </c>
      <c r="B598" s="86" t="s">
        <v>521</v>
      </c>
      <c r="C598" s="85" t="s">
        <v>522</v>
      </c>
      <c r="D598" s="85" t="s">
        <v>191</v>
      </c>
      <c r="E598" s="85" t="s">
        <v>523</v>
      </c>
      <c r="F598" s="87" t="s">
        <v>238</v>
      </c>
      <c r="G598" s="230">
        <v>30</v>
      </c>
      <c r="H598" s="111">
        <v>30</v>
      </c>
      <c r="I598" s="88">
        <f>IF(H598=0,0,$G598/H598)</f>
        <v>1</v>
      </c>
      <c r="J598" s="75">
        <v>0</v>
      </c>
      <c r="K598" s="89">
        <f>IF(J598=0,0,$G598/J598)</f>
        <v>0</v>
      </c>
      <c r="L598" s="75">
        <v>0</v>
      </c>
      <c r="M598" s="89">
        <f>IF(L598=0,0,$G598/L598)</f>
        <v>0</v>
      </c>
    </row>
    <row r="599" spans="1:13" ht="12.75" customHeight="1" thickBot="1">
      <c r="A599" s="108" t="s">
        <v>138</v>
      </c>
      <c r="B599" s="86" t="s">
        <v>521</v>
      </c>
      <c r="C599" s="85" t="s">
        <v>522</v>
      </c>
      <c r="D599" s="85" t="s">
        <v>349</v>
      </c>
      <c r="E599" s="85" t="s">
        <v>523</v>
      </c>
      <c r="F599" s="87" t="s">
        <v>785</v>
      </c>
      <c r="G599" s="230">
        <v>0</v>
      </c>
      <c r="H599" s="111">
        <v>0</v>
      </c>
      <c r="I599" s="88">
        <f>IF(H599=0,0,$G599/H599)</f>
        <v>0</v>
      </c>
      <c r="J599" s="75">
        <f>20-8.768</f>
        <v>11.232</v>
      </c>
      <c r="K599" s="89">
        <f>IF(J599=0,0,$G599/J599)</f>
        <v>0</v>
      </c>
      <c r="L599" s="75">
        <v>0</v>
      </c>
      <c r="M599" s="89">
        <f>IF(L599=0,0,$G599/L599)</f>
        <v>0</v>
      </c>
    </row>
    <row r="600" spans="1:15" ht="12.75" customHeight="1">
      <c r="A600" s="109"/>
      <c r="B600" s="91" t="s">
        <v>11</v>
      </c>
      <c r="C600" s="90" t="s">
        <v>522</v>
      </c>
      <c r="D600" s="90"/>
      <c r="E600" s="90"/>
      <c r="F600" s="92"/>
      <c r="G600" s="231">
        <f aca="true" t="shared" si="111" ref="G600:L600">SUM(G597:G599)</f>
        <v>120</v>
      </c>
      <c r="H600" s="93">
        <f t="shared" si="111"/>
        <v>120</v>
      </c>
      <c r="I600" s="94">
        <f>IF(H600=0,0,$G600/H600)</f>
        <v>1</v>
      </c>
      <c r="J600" s="93">
        <f t="shared" si="111"/>
        <v>120</v>
      </c>
      <c r="K600" s="94">
        <f>IF(J600=0,0,$G600/J600)</f>
        <v>1</v>
      </c>
      <c r="L600" s="93">
        <f t="shared" si="111"/>
        <v>108.448</v>
      </c>
      <c r="M600" s="94">
        <f>IF(L600=0,0,$G600/L600)</f>
        <v>1.106521097668929</v>
      </c>
      <c r="O600" s="80"/>
    </row>
    <row r="601" spans="9:13" ht="12.75" customHeight="1">
      <c r="I601" s="88"/>
      <c r="K601" s="89"/>
      <c r="M601" s="89"/>
    </row>
    <row r="602" spans="1:13" ht="12.75" customHeight="1">
      <c r="A602" s="108" t="s">
        <v>138</v>
      </c>
      <c r="B602" s="86" t="s">
        <v>524</v>
      </c>
      <c r="C602" s="85" t="s">
        <v>525</v>
      </c>
      <c r="D602" s="85" t="s">
        <v>227</v>
      </c>
      <c r="E602" s="85" t="s">
        <v>526</v>
      </c>
      <c r="F602" s="87" t="s">
        <v>527</v>
      </c>
      <c r="G602" s="230">
        <v>200</v>
      </c>
      <c r="H602" s="111">
        <v>100</v>
      </c>
      <c r="I602" s="88">
        <f aca="true" t="shared" si="112" ref="I602:I610">IF(H602=0,0,$G602/H602)</f>
        <v>2</v>
      </c>
      <c r="J602" s="75">
        <f>227.57-85+35</f>
        <v>177.57</v>
      </c>
      <c r="K602" s="89">
        <f aca="true" t="shared" si="113" ref="K602:K610">IF(J602=0,0,$G602/J602)</f>
        <v>1.12631638227178</v>
      </c>
      <c r="L602" s="75">
        <v>177.545</v>
      </c>
      <c r="M602" s="89">
        <f aca="true" t="shared" si="114" ref="M602:M610">IF(L602=0,0,$G602/L602)</f>
        <v>1.1264749781745473</v>
      </c>
    </row>
    <row r="603" spans="1:13" ht="12.75" customHeight="1">
      <c r="A603" s="108" t="s">
        <v>138</v>
      </c>
      <c r="B603" s="86" t="s">
        <v>524</v>
      </c>
      <c r="C603" s="85" t="s">
        <v>525</v>
      </c>
      <c r="D603" s="85" t="s">
        <v>176</v>
      </c>
      <c r="E603" s="85" t="s">
        <v>526</v>
      </c>
      <c r="F603" s="87" t="s">
        <v>178</v>
      </c>
      <c r="G603" s="230">
        <v>30</v>
      </c>
      <c r="H603" s="111">
        <v>50</v>
      </c>
      <c r="I603" s="88">
        <f t="shared" si="112"/>
        <v>0.6</v>
      </c>
      <c r="J603" s="75">
        <f>50-35</f>
        <v>15</v>
      </c>
      <c r="K603" s="89">
        <f t="shared" si="113"/>
        <v>2</v>
      </c>
      <c r="L603" s="75">
        <v>9.92</v>
      </c>
      <c r="M603" s="89">
        <f t="shared" si="114"/>
        <v>3.024193548387097</v>
      </c>
    </row>
    <row r="604" spans="1:13" ht="12.75" customHeight="1">
      <c r="A604" s="108" t="s">
        <v>138</v>
      </c>
      <c r="B604" s="86" t="s">
        <v>524</v>
      </c>
      <c r="C604" s="85" t="s">
        <v>525</v>
      </c>
      <c r="D604" s="85" t="s">
        <v>179</v>
      </c>
      <c r="E604" s="85" t="s">
        <v>526</v>
      </c>
      <c r="F604" s="87" t="s">
        <v>180</v>
      </c>
      <c r="G604" s="230">
        <v>2</v>
      </c>
      <c r="H604" s="111">
        <v>2</v>
      </c>
      <c r="I604" s="88">
        <f t="shared" si="112"/>
        <v>1</v>
      </c>
      <c r="J604" s="75">
        <v>2</v>
      </c>
      <c r="K604" s="89">
        <f t="shared" si="113"/>
        <v>1</v>
      </c>
      <c r="L604" s="75">
        <v>0</v>
      </c>
      <c r="M604" s="89">
        <f t="shared" si="114"/>
        <v>0</v>
      </c>
    </row>
    <row r="605" spans="1:13" ht="12.75" customHeight="1">
      <c r="A605" s="108" t="s">
        <v>138</v>
      </c>
      <c r="B605" s="86" t="s">
        <v>524</v>
      </c>
      <c r="C605" s="85" t="s">
        <v>525</v>
      </c>
      <c r="D605" s="85" t="s">
        <v>183</v>
      </c>
      <c r="E605" s="85" t="s">
        <v>526</v>
      </c>
      <c r="F605" s="87" t="s">
        <v>342</v>
      </c>
      <c r="G605" s="230">
        <v>24</v>
      </c>
      <c r="H605" s="111">
        <v>24</v>
      </c>
      <c r="I605" s="88">
        <f t="shared" si="112"/>
        <v>1</v>
      </c>
      <c r="J605" s="75">
        <f>24-15+1.234</f>
        <v>10.234</v>
      </c>
      <c r="K605" s="89">
        <f t="shared" si="113"/>
        <v>2.345124096150088</v>
      </c>
      <c r="L605" s="75">
        <v>10.234</v>
      </c>
      <c r="M605" s="89">
        <f t="shared" si="114"/>
        <v>2.345124096150088</v>
      </c>
    </row>
    <row r="606" spans="1:13" ht="12.75" customHeight="1">
      <c r="A606" s="108" t="s">
        <v>138</v>
      </c>
      <c r="B606" s="86" t="s">
        <v>524</v>
      </c>
      <c r="C606" s="85" t="s">
        <v>525</v>
      </c>
      <c r="D606" s="85" t="s">
        <v>191</v>
      </c>
      <c r="E606" s="85" t="s">
        <v>526</v>
      </c>
      <c r="F606" s="87" t="s">
        <v>238</v>
      </c>
      <c r="G606" s="230">
        <v>40</v>
      </c>
      <c r="H606" s="111">
        <v>20</v>
      </c>
      <c r="I606" s="88">
        <f t="shared" si="112"/>
        <v>2</v>
      </c>
      <c r="J606" s="75">
        <v>28.85</v>
      </c>
      <c r="K606" s="89">
        <f t="shared" si="113"/>
        <v>1.386481802426343</v>
      </c>
      <c r="L606" s="75">
        <v>9.681</v>
      </c>
      <c r="M606" s="89">
        <f t="shared" si="114"/>
        <v>4.131804565644045</v>
      </c>
    </row>
    <row r="607" spans="1:13" ht="12.75" customHeight="1">
      <c r="A607" s="108" t="s">
        <v>138</v>
      </c>
      <c r="B607" s="86" t="s">
        <v>524</v>
      </c>
      <c r="C607" s="85" t="s">
        <v>525</v>
      </c>
      <c r="D607" s="85" t="s">
        <v>193</v>
      </c>
      <c r="E607" s="85" t="s">
        <v>526</v>
      </c>
      <c r="F607" s="87" t="s">
        <v>517</v>
      </c>
      <c r="G607" s="230">
        <v>20</v>
      </c>
      <c r="H607" s="111">
        <v>25</v>
      </c>
      <c r="I607" s="88">
        <f t="shared" si="112"/>
        <v>0.8</v>
      </c>
      <c r="J607" s="75">
        <v>25</v>
      </c>
      <c r="K607" s="89">
        <f t="shared" si="113"/>
        <v>0.8</v>
      </c>
      <c r="L607" s="75">
        <v>0</v>
      </c>
      <c r="M607" s="89">
        <f t="shared" si="114"/>
        <v>0</v>
      </c>
    </row>
    <row r="608" spans="1:13" ht="12.75" customHeight="1">
      <c r="A608" s="108" t="s">
        <v>138</v>
      </c>
      <c r="B608" s="86" t="s">
        <v>524</v>
      </c>
      <c r="C608" s="85" t="s">
        <v>525</v>
      </c>
      <c r="D608" s="85" t="s">
        <v>478</v>
      </c>
      <c r="E608" s="85" t="s">
        <v>620</v>
      </c>
      <c r="F608" s="87" t="s">
        <v>621</v>
      </c>
      <c r="G608" s="230">
        <v>0</v>
      </c>
      <c r="H608" s="111">
        <v>0</v>
      </c>
      <c r="I608" s="88">
        <f t="shared" si="112"/>
        <v>0</v>
      </c>
      <c r="J608" s="75">
        <v>356.22</v>
      </c>
      <c r="K608" s="89">
        <f t="shared" si="113"/>
        <v>0</v>
      </c>
      <c r="L608" s="75">
        <v>350.064</v>
      </c>
      <c r="M608" s="89">
        <f t="shared" si="114"/>
        <v>0</v>
      </c>
    </row>
    <row r="609" spans="1:13" ht="12.75" customHeight="1" thickBot="1">
      <c r="A609" s="108" t="s">
        <v>138</v>
      </c>
      <c r="B609" s="86" t="s">
        <v>524</v>
      </c>
      <c r="C609" s="85" t="s">
        <v>525</v>
      </c>
      <c r="D609" s="85" t="s">
        <v>349</v>
      </c>
      <c r="E609" s="85" t="s">
        <v>526</v>
      </c>
      <c r="F609" s="87" t="s">
        <v>785</v>
      </c>
      <c r="G609" s="230">
        <v>0</v>
      </c>
      <c r="H609" s="111">
        <v>0</v>
      </c>
      <c r="I609" s="88">
        <f>IF(H609=0,0,$G609/H609)</f>
        <v>0</v>
      </c>
      <c r="J609" s="75">
        <f>135-35-1.234</f>
        <v>98.766</v>
      </c>
      <c r="K609" s="89">
        <f>IF(J609=0,0,$G609/J609)</f>
        <v>0</v>
      </c>
      <c r="L609" s="75">
        <v>0</v>
      </c>
      <c r="M609" s="89">
        <f>IF(L609=0,0,$G609/L609)</f>
        <v>0</v>
      </c>
    </row>
    <row r="610" spans="1:15" ht="12.75" customHeight="1">
      <c r="A610" s="109"/>
      <c r="B610" s="91" t="s">
        <v>11</v>
      </c>
      <c r="C610" s="90" t="s">
        <v>525</v>
      </c>
      <c r="D610" s="90"/>
      <c r="E610" s="90"/>
      <c r="F610" s="92"/>
      <c r="G610" s="231">
        <f aca="true" t="shared" si="115" ref="G610:L610">SUM(G602:G609)</f>
        <v>316</v>
      </c>
      <c r="H610" s="93">
        <f t="shared" si="115"/>
        <v>221</v>
      </c>
      <c r="I610" s="94">
        <f t="shared" si="112"/>
        <v>1.4298642533936652</v>
      </c>
      <c r="J610" s="93">
        <f>SUM(J602:J609)</f>
        <v>713.64</v>
      </c>
      <c r="K610" s="94">
        <f t="shared" si="113"/>
        <v>0.442800291463483</v>
      </c>
      <c r="L610" s="93">
        <f t="shared" si="115"/>
        <v>557.444</v>
      </c>
      <c r="M610" s="94">
        <f t="shared" si="114"/>
        <v>0.566873085009436</v>
      </c>
      <c r="O610" s="80"/>
    </row>
    <row r="611" spans="9:13" ht="12.75" customHeight="1">
      <c r="I611" s="88"/>
      <c r="K611" s="89"/>
      <c r="M611" s="89"/>
    </row>
    <row r="612" spans="1:13" ht="12.75" customHeight="1">
      <c r="A612" s="108" t="s">
        <v>138</v>
      </c>
      <c r="B612" s="86" t="s">
        <v>528</v>
      </c>
      <c r="C612" s="85" t="s">
        <v>146</v>
      </c>
      <c r="D612" s="85" t="s">
        <v>217</v>
      </c>
      <c r="E612" s="85" t="s">
        <v>529</v>
      </c>
      <c r="F612" s="87" t="s">
        <v>530</v>
      </c>
      <c r="G612" s="230">
        <v>72</v>
      </c>
      <c r="H612" s="111">
        <v>0</v>
      </c>
      <c r="I612" s="88">
        <f aca="true" t="shared" si="116" ref="I612:I620">IF(H612=0,0,$G612/H612)</f>
        <v>0</v>
      </c>
      <c r="J612" s="75">
        <v>0</v>
      </c>
      <c r="K612" s="89">
        <f aca="true" t="shared" si="117" ref="K612:K620">IF(J612=0,0,$G612/J612)</f>
        <v>0</v>
      </c>
      <c r="L612" s="75">
        <v>0</v>
      </c>
      <c r="M612" s="89">
        <f aca="true" t="shared" si="118" ref="M612:M620">IF(L612=0,0,$G612/L612)</f>
        <v>0</v>
      </c>
    </row>
    <row r="613" spans="1:13" ht="12.75" customHeight="1">
      <c r="A613" s="108" t="s">
        <v>138</v>
      </c>
      <c r="B613" s="86" t="s">
        <v>528</v>
      </c>
      <c r="C613" s="85" t="s">
        <v>146</v>
      </c>
      <c r="D613" s="85" t="s">
        <v>220</v>
      </c>
      <c r="E613" s="85" t="s">
        <v>529</v>
      </c>
      <c r="F613" s="87" t="s">
        <v>286</v>
      </c>
      <c r="G613" s="230">
        <v>18</v>
      </c>
      <c r="H613" s="111">
        <v>15</v>
      </c>
      <c r="I613" s="88">
        <f t="shared" si="116"/>
        <v>1.2</v>
      </c>
      <c r="J613" s="75">
        <f>14.2-10</f>
        <v>4.199999999999999</v>
      </c>
      <c r="K613" s="89">
        <f t="shared" si="117"/>
        <v>4.2857142857142865</v>
      </c>
      <c r="L613" s="75">
        <v>0</v>
      </c>
      <c r="M613" s="89">
        <f t="shared" si="118"/>
        <v>0</v>
      </c>
    </row>
    <row r="614" spans="1:13" ht="12.75" customHeight="1">
      <c r="A614" s="108" t="s">
        <v>138</v>
      </c>
      <c r="B614" s="86" t="s">
        <v>528</v>
      </c>
      <c r="C614" s="85" t="s">
        <v>146</v>
      </c>
      <c r="D614" s="85" t="s">
        <v>222</v>
      </c>
      <c r="E614" s="85" t="s">
        <v>529</v>
      </c>
      <c r="F614" s="87" t="s">
        <v>287</v>
      </c>
      <c r="G614" s="230">
        <v>6</v>
      </c>
      <c r="H614" s="111">
        <v>0</v>
      </c>
      <c r="I614" s="88">
        <f t="shared" si="116"/>
        <v>0</v>
      </c>
      <c r="J614" s="75">
        <v>0</v>
      </c>
      <c r="K614" s="89">
        <f t="shared" si="117"/>
        <v>0</v>
      </c>
      <c r="L614" s="75">
        <v>0</v>
      </c>
      <c r="M614" s="89">
        <f t="shared" si="118"/>
        <v>0</v>
      </c>
    </row>
    <row r="615" spans="1:13" ht="12.75" customHeight="1">
      <c r="A615" s="108" t="s">
        <v>138</v>
      </c>
      <c r="B615" s="86" t="s">
        <v>528</v>
      </c>
      <c r="C615" s="85" t="s">
        <v>146</v>
      </c>
      <c r="D615" s="85" t="s">
        <v>176</v>
      </c>
      <c r="E615" s="85" t="s">
        <v>529</v>
      </c>
      <c r="F615" s="87" t="s">
        <v>178</v>
      </c>
      <c r="G615" s="230">
        <v>15</v>
      </c>
      <c r="H615" s="111">
        <v>0</v>
      </c>
      <c r="I615" s="88">
        <f t="shared" si="116"/>
        <v>0</v>
      </c>
      <c r="J615" s="75">
        <v>0</v>
      </c>
      <c r="K615" s="89">
        <f t="shared" si="117"/>
        <v>0</v>
      </c>
      <c r="L615" s="75">
        <v>0</v>
      </c>
      <c r="M615" s="89">
        <f t="shared" si="118"/>
        <v>0</v>
      </c>
    </row>
    <row r="616" spans="1:13" ht="12.75" customHeight="1">
      <c r="A616" s="108" t="s">
        <v>138</v>
      </c>
      <c r="B616" s="86" t="s">
        <v>528</v>
      </c>
      <c r="C616" s="85" t="s">
        <v>146</v>
      </c>
      <c r="D616" s="85" t="s">
        <v>289</v>
      </c>
      <c r="E616" s="85" t="s">
        <v>529</v>
      </c>
      <c r="F616" s="87" t="s">
        <v>531</v>
      </c>
      <c r="G616" s="230">
        <v>0.1</v>
      </c>
      <c r="H616" s="111">
        <v>0</v>
      </c>
      <c r="I616" s="88">
        <f t="shared" si="116"/>
        <v>0</v>
      </c>
      <c r="J616" s="75">
        <v>0.8</v>
      </c>
      <c r="K616" s="89">
        <f t="shared" si="117"/>
        <v>0.125</v>
      </c>
      <c r="L616" s="75">
        <v>0</v>
      </c>
      <c r="M616" s="89">
        <f t="shared" si="118"/>
        <v>0</v>
      </c>
    </row>
    <row r="617" spans="1:13" ht="12.75" customHeight="1">
      <c r="A617" s="108" t="s">
        <v>138</v>
      </c>
      <c r="B617" s="86" t="s">
        <v>528</v>
      </c>
      <c r="C617" s="85" t="s">
        <v>146</v>
      </c>
      <c r="D617" s="85" t="s">
        <v>191</v>
      </c>
      <c r="E617" s="85" t="s">
        <v>529</v>
      </c>
      <c r="F617" s="87" t="s">
        <v>622</v>
      </c>
      <c r="G617" s="230">
        <v>339</v>
      </c>
      <c r="H617" s="111">
        <v>0</v>
      </c>
      <c r="I617" s="88">
        <f t="shared" si="116"/>
        <v>0</v>
      </c>
      <c r="J617" s="75">
        <v>111.47</v>
      </c>
      <c r="K617" s="89">
        <f t="shared" si="117"/>
        <v>3.0411769982955055</v>
      </c>
      <c r="L617" s="75">
        <v>0</v>
      </c>
      <c r="M617" s="89">
        <f t="shared" si="118"/>
        <v>0</v>
      </c>
    </row>
    <row r="618" spans="1:13" ht="12.75" customHeight="1">
      <c r="A618" s="108" t="s">
        <v>138</v>
      </c>
      <c r="B618" s="86" t="s">
        <v>528</v>
      </c>
      <c r="C618" s="85" t="s">
        <v>146</v>
      </c>
      <c r="D618" s="85" t="s">
        <v>614</v>
      </c>
      <c r="E618" s="85" t="s">
        <v>529</v>
      </c>
      <c r="F618" s="87" t="s">
        <v>623</v>
      </c>
      <c r="G618" s="230">
        <v>0</v>
      </c>
      <c r="H618" s="111">
        <v>0</v>
      </c>
      <c r="I618" s="88">
        <f t="shared" si="116"/>
        <v>0</v>
      </c>
      <c r="J618" s="75">
        <v>8.29</v>
      </c>
      <c r="K618" s="89">
        <f t="shared" si="117"/>
        <v>0</v>
      </c>
      <c r="L618" s="75">
        <v>0</v>
      </c>
      <c r="M618" s="89">
        <f t="shared" si="118"/>
        <v>0</v>
      </c>
    </row>
    <row r="619" spans="1:13" ht="12.75" customHeight="1" thickBot="1">
      <c r="A619" s="108" t="s">
        <v>138</v>
      </c>
      <c r="B619" s="86" t="s">
        <v>528</v>
      </c>
      <c r="C619" s="85" t="s">
        <v>146</v>
      </c>
      <c r="D619" s="85" t="s">
        <v>349</v>
      </c>
      <c r="E619" s="85" t="s">
        <v>529</v>
      </c>
      <c r="F619" s="87" t="s">
        <v>785</v>
      </c>
      <c r="G619" s="230">
        <v>0</v>
      </c>
      <c r="H619" s="111">
        <v>0</v>
      </c>
      <c r="I619" s="88">
        <f>IF(H619=0,0,$G619/H619)</f>
        <v>0</v>
      </c>
      <c r="J619" s="75">
        <v>10</v>
      </c>
      <c r="K619" s="89">
        <f>IF(J619=0,0,$G619/J619)</f>
        <v>0</v>
      </c>
      <c r="L619" s="75">
        <v>0</v>
      </c>
      <c r="M619" s="89">
        <f>IF(L619=0,0,$G619/L619)</f>
        <v>0</v>
      </c>
    </row>
    <row r="620" spans="1:15" ht="12.75" customHeight="1">
      <c r="A620" s="109"/>
      <c r="B620" s="91" t="s">
        <v>11</v>
      </c>
      <c r="C620" s="90" t="s">
        <v>146</v>
      </c>
      <c r="D620" s="90"/>
      <c r="E620" s="90"/>
      <c r="F620" s="92"/>
      <c r="G620" s="231">
        <f aca="true" t="shared" si="119" ref="G620:L620">SUM(G612:G619)</f>
        <v>450.1</v>
      </c>
      <c r="H620" s="93">
        <f t="shared" si="119"/>
        <v>15</v>
      </c>
      <c r="I620" s="94">
        <f t="shared" si="116"/>
        <v>30.006666666666668</v>
      </c>
      <c r="J620" s="93">
        <f t="shared" si="119"/>
        <v>134.76</v>
      </c>
      <c r="K620" s="94">
        <f t="shared" si="117"/>
        <v>3.3400118729593355</v>
      </c>
      <c r="L620" s="93">
        <f t="shared" si="119"/>
        <v>0</v>
      </c>
      <c r="M620" s="94">
        <f t="shared" si="118"/>
        <v>0</v>
      </c>
      <c r="O620" s="80"/>
    </row>
    <row r="621" spans="9:13" ht="12.75" customHeight="1">
      <c r="I621" s="88"/>
      <c r="K621" s="89"/>
      <c r="M621" s="89"/>
    </row>
    <row r="622" spans="1:13" ht="12.75" customHeight="1">
      <c r="A622" s="108" t="s">
        <v>138</v>
      </c>
      <c r="B622" s="86" t="s">
        <v>532</v>
      </c>
      <c r="C622" s="85" t="s">
        <v>148</v>
      </c>
      <c r="D622" s="85" t="s">
        <v>266</v>
      </c>
      <c r="E622" s="85" t="s">
        <v>533</v>
      </c>
      <c r="F622" s="87" t="s">
        <v>794</v>
      </c>
      <c r="G622" s="230">
        <v>4285</v>
      </c>
      <c r="H622" s="111">
        <v>4285</v>
      </c>
      <c r="I622" s="88">
        <f aca="true" t="shared" si="120" ref="I622:I644">IF(H622=0,0,$G622/H622)</f>
        <v>1</v>
      </c>
      <c r="J622" s="75">
        <v>4351.44</v>
      </c>
      <c r="K622" s="89">
        <f aca="true" t="shared" si="121" ref="K622:K644">IF(J622=0,0,$G622/J622)</f>
        <v>0.9847314911845275</v>
      </c>
      <c r="L622" s="75">
        <v>3384.967</v>
      </c>
      <c r="M622" s="89">
        <f aca="true" t="shared" si="122" ref="M622:M644">IF(L622=0,0,$G622/L622)</f>
        <v>1.2658912184372846</v>
      </c>
    </row>
    <row r="623" spans="1:13" ht="12.75" customHeight="1">
      <c r="A623" s="108" t="s">
        <v>138</v>
      </c>
      <c r="B623" s="86" t="s">
        <v>532</v>
      </c>
      <c r="C623" s="85" t="s">
        <v>148</v>
      </c>
      <c r="D623" s="85" t="s">
        <v>217</v>
      </c>
      <c r="E623" s="85" t="s">
        <v>533</v>
      </c>
      <c r="F623" s="87" t="s">
        <v>300</v>
      </c>
      <c r="G623" s="230">
        <v>36</v>
      </c>
      <c r="H623" s="111">
        <v>30</v>
      </c>
      <c r="I623" s="88">
        <f t="shared" si="120"/>
        <v>1.2</v>
      </c>
      <c r="J623" s="75">
        <v>72</v>
      </c>
      <c r="K623" s="89">
        <f t="shared" si="121"/>
        <v>0.5</v>
      </c>
      <c r="L623" s="75">
        <v>67.608</v>
      </c>
      <c r="M623" s="89">
        <f t="shared" si="122"/>
        <v>0.5324813631522897</v>
      </c>
    </row>
    <row r="624" spans="1:13" ht="12.75" customHeight="1">
      <c r="A624" s="108" t="s">
        <v>138</v>
      </c>
      <c r="B624" s="86" t="s">
        <v>532</v>
      </c>
      <c r="C624" s="85" t="s">
        <v>148</v>
      </c>
      <c r="D624" s="85" t="s">
        <v>220</v>
      </c>
      <c r="E624" s="85" t="s">
        <v>533</v>
      </c>
      <c r="F624" s="87" t="s">
        <v>286</v>
      </c>
      <c r="G624" s="230">
        <v>1071</v>
      </c>
      <c r="H624" s="111">
        <v>1071</v>
      </c>
      <c r="I624" s="88">
        <f t="shared" si="120"/>
        <v>1</v>
      </c>
      <c r="J624" s="75">
        <v>1087.61</v>
      </c>
      <c r="K624" s="89">
        <f t="shared" si="121"/>
        <v>0.9847279815374997</v>
      </c>
      <c r="L624" s="75">
        <v>812.992</v>
      </c>
      <c r="M624" s="89">
        <f t="shared" si="122"/>
        <v>1.317356136345745</v>
      </c>
    </row>
    <row r="625" spans="1:13" ht="12.75" customHeight="1">
      <c r="A625" s="108" t="s">
        <v>138</v>
      </c>
      <c r="B625" s="86" t="s">
        <v>532</v>
      </c>
      <c r="C625" s="85" t="s">
        <v>148</v>
      </c>
      <c r="D625" s="85" t="s">
        <v>222</v>
      </c>
      <c r="E625" s="85" t="s">
        <v>533</v>
      </c>
      <c r="F625" s="87" t="s">
        <v>287</v>
      </c>
      <c r="G625" s="230">
        <v>385</v>
      </c>
      <c r="H625" s="111">
        <v>385</v>
      </c>
      <c r="I625" s="88">
        <f t="shared" si="120"/>
        <v>1</v>
      </c>
      <c r="J625" s="75">
        <v>390.98</v>
      </c>
      <c r="K625" s="89">
        <f t="shared" si="121"/>
        <v>0.9847051000051154</v>
      </c>
      <c r="L625" s="75">
        <v>292.674</v>
      </c>
      <c r="M625" s="89">
        <f t="shared" si="122"/>
        <v>1.3154567880987038</v>
      </c>
    </row>
    <row r="626" spans="1:13" ht="12.75" customHeight="1">
      <c r="A626" s="108" t="s">
        <v>138</v>
      </c>
      <c r="B626" s="86" t="s">
        <v>532</v>
      </c>
      <c r="C626" s="85" t="s">
        <v>148</v>
      </c>
      <c r="D626" s="85" t="s">
        <v>211</v>
      </c>
      <c r="E626" s="85" t="s">
        <v>533</v>
      </c>
      <c r="F626" s="87" t="s">
        <v>224</v>
      </c>
      <c r="G626" s="230">
        <v>6</v>
      </c>
      <c r="H626" s="111">
        <v>6</v>
      </c>
      <c r="I626" s="88">
        <f t="shared" si="120"/>
        <v>1</v>
      </c>
      <c r="J626" s="75">
        <v>6.11</v>
      </c>
      <c r="K626" s="89">
        <f t="shared" si="121"/>
        <v>0.9819967266775776</v>
      </c>
      <c r="L626" s="75">
        <v>6.107</v>
      </c>
      <c r="M626" s="89">
        <f t="shared" si="122"/>
        <v>0.9824791223186506</v>
      </c>
    </row>
    <row r="627" spans="1:13" ht="12.75" customHeight="1">
      <c r="A627" s="108" t="s">
        <v>138</v>
      </c>
      <c r="B627" s="86" t="s">
        <v>532</v>
      </c>
      <c r="C627" s="85" t="s">
        <v>148</v>
      </c>
      <c r="D627" s="85" t="s">
        <v>225</v>
      </c>
      <c r="E627" s="85" t="s">
        <v>533</v>
      </c>
      <c r="F627" s="87" t="s">
        <v>472</v>
      </c>
      <c r="G627" s="230">
        <v>70</v>
      </c>
      <c r="H627" s="111">
        <v>70</v>
      </c>
      <c r="I627" s="88">
        <f t="shared" si="120"/>
        <v>1</v>
      </c>
      <c r="J627" s="75">
        <v>69.89</v>
      </c>
      <c r="K627" s="89">
        <f t="shared" si="121"/>
        <v>1.0015739018457577</v>
      </c>
      <c r="L627" s="75">
        <v>52.744</v>
      </c>
      <c r="M627" s="89">
        <f t="shared" si="122"/>
        <v>1.3271651751858031</v>
      </c>
    </row>
    <row r="628" spans="1:13" ht="12.75" customHeight="1">
      <c r="A628" s="108" t="s">
        <v>138</v>
      </c>
      <c r="B628" s="86" t="s">
        <v>532</v>
      </c>
      <c r="C628" s="85" t="s">
        <v>148</v>
      </c>
      <c r="D628" s="85" t="s">
        <v>227</v>
      </c>
      <c r="E628" s="85" t="s">
        <v>533</v>
      </c>
      <c r="F628" s="87" t="s">
        <v>534</v>
      </c>
      <c r="G628" s="230">
        <v>113</v>
      </c>
      <c r="H628" s="111">
        <v>30</v>
      </c>
      <c r="I628" s="88">
        <f t="shared" si="120"/>
        <v>3.7666666666666666</v>
      </c>
      <c r="J628" s="75">
        <v>38</v>
      </c>
      <c r="K628" s="89">
        <f t="shared" si="121"/>
        <v>2.973684210526316</v>
      </c>
      <c r="L628" s="75">
        <v>19.098</v>
      </c>
      <c r="M628" s="89">
        <f t="shared" si="122"/>
        <v>5.916849931930045</v>
      </c>
    </row>
    <row r="629" spans="1:13" ht="12.75" customHeight="1">
      <c r="A629" s="108" t="s">
        <v>138</v>
      </c>
      <c r="B629" s="86" t="s">
        <v>532</v>
      </c>
      <c r="C629" s="85" t="s">
        <v>148</v>
      </c>
      <c r="D629" s="85" t="s">
        <v>176</v>
      </c>
      <c r="E629" s="85" t="s">
        <v>533</v>
      </c>
      <c r="F629" s="87" t="s">
        <v>178</v>
      </c>
      <c r="G629" s="230">
        <v>250</v>
      </c>
      <c r="H629" s="111">
        <v>250</v>
      </c>
      <c r="I629" s="88">
        <f t="shared" si="120"/>
        <v>1</v>
      </c>
      <c r="J629" s="75">
        <f>247.16-60</f>
        <v>187.16</v>
      </c>
      <c r="K629" s="89">
        <f t="shared" si="121"/>
        <v>1.3357555033126736</v>
      </c>
      <c r="L629" s="75">
        <v>177.352</v>
      </c>
      <c r="M629" s="89">
        <f t="shared" si="122"/>
        <v>1.4096260544002888</v>
      </c>
    </row>
    <row r="630" spans="1:13" ht="12.75" customHeight="1">
      <c r="A630" s="108" t="s">
        <v>138</v>
      </c>
      <c r="B630" s="86" t="s">
        <v>532</v>
      </c>
      <c r="C630" s="85" t="s">
        <v>148</v>
      </c>
      <c r="D630" s="85" t="s">
        <v>179</v>
      </c>
      <c r="E630" s="85" t="s">
        <v>533</v>
      </c>
      <c r="F630" s="87" t="s">
        <v>180</v>
      </c>
      <c r="G630" s="230">
        <v>5</v>
      </c>
      <c r="H630" s="111">
        <v>5</v>
      </c>
      <c r="I630" s="88">
        <f t="shared" si="120"/>
        <v>1</v>
      </c>
      <c r="J630" s="75">
        <v>5</v>
      </c>
      <c r="K630" s="89">
        <f t="shared" si="121"/>
        <v>1</v>
      </c>
      <c r="L630" s="75">
        <v>0</v>
      </c>
      <c r="M630" s="89">
        <f t="shared" si="122"/>
        <v>0</v>
      </c>
    </row>
    <row r="631" spans="1:13" ht="12.75" customHeight="1">
      <c r="A631" s="108" t="s">
        <v>138</v>
      </c>
      <c r="B631" s="86" t="s">
        <v>532</v>
      </c>
      <c r="C631" s="85" t="s">
        <v>148</v>
      </c>
      <c r="D631" s="85" t="s">
        <v>183</v>
      </c>
      <c r="E631" s="85" t="s">
        <v>533</v>
      </c>
      <c r="F631" s="87" t="s">
        <v>342</v>
      </c>
      <c r="G631" s="230">
        <v>160</v>
      </c>
      <c r="H631" s="111">
        <v>200</v>
      </c>
      <c r="I631" s="88">
        <f t="shared" si="120"/>
        <v>0.8</v>
      </c>
      <c r="J631" s="75">
        <f>158-50+16.54</f>
        <v>124.53999999999999</v>
      </c>
      <c r="K631" s="89">
        <f t="shared" si="121"/>
        <v>1.2847277982977356</v>
      </c>
      <c r="L631" s="75">
        <v>124.54</v>
      </c>
      <c r="M631" s="89">
        <f t="shared" si="122"/>
        <v>1.2847277982977356</v>
      </c>
    </row>
    <row r="632" spans="1:13" ht="12.75" customHeight="1">
      <c r="A632" s="108" t="s">
        <v>138</v>
      </c>
      <c r="B632" s="86" t="s">
        <v>532</v>
      </c>
      <c r="C632" s="85" t="s">
        <v>148</v>
      </c>
      <c r="D632" s="85" t="s">
        <v>233</v>
      </c>
      <c r="E632" s="85" t="s">
        <v>533</v>
      </c>
      <c r="F632" s="87" t="s">
        <v>234</v>
      </c>
      <c r="G632" s="230">
        <v>750</v>
      </c>
      <c r="H632" s="111">
        <v>760</v>
      </c>
      <c r="I632" s="88">
        <f t="shared" si="120"/>
        <v>0.9868421052631579</v>
      </c>
      <c r="J632" s="75">
        <f>743-200</f>
        <v>543</v>
      </c>
      <c r="K632" s="89">
        <f t="shared" si="121"/>
        <v>1.3812154696132597</v>
      </c>
      <c r="L632" s="75">
        <v>470.158</v>
      </c>
      <c r="M632" s="89">
        <f t="shared" si="122"/>
        <v>1.5952084192973426</v>
      </c>
    </row>
    <row r="633" spans="1:13" ht="12.75" customHeight="1">
      <c r="A633" s="108" t="s">
        <v>138</v>
      </c>
      <c r="B633" s="86" t="s">
        <v>532</v>
      </c>
      <c r="C633" s="85" t="s">
        <v>148</v>
      </c>
      <c r="D633" s="85" t="s">
        <v>187</v>
      </c>
      <c r="E633" s="85" t="s">
        <v>533</v>
      </c>
      <c r="F633" s="87" t="s">
        <v>302</v>
      </c>
      <c r="G633" s="230">
        <v>50</v>
      </c>
      <c r="H633" s="111">
        <v>50</v>
      </c>
      <c r="I633" s="88">
        <f t="shared" si="120"/>
        <v>1</v>
      </c>
      <c r="J633" s="75">
        <v>67</v>
      </c>
      <c r="K633" s="89">
        <f t="shared" si="121"/>
        <v>0.746268656716418</v>
      </c>
      <c r="L633" s="75">
        <v>47.419</v>
      </c>
      <c r="M633" s="89">
        <f t="shared" si="122"/>
        <v>1.0544296589974484</v>
      </c>
    </row>
    <row r="634" spans="1:13" ht="12.75" customHeight="1">
      <c r="A634" s="108" t="s">
        <v>138</v>
      </c>
      <c r="B634" s="86" t="s">
        <v>532</v>
      </c>
      <c r="C634" s="85" t="s">
        <v>148</v>
      </c>
      <c r="D634" s="85" t="s">
        <v>189</v>
      </c>
      <c r="E634" s="85" t="s">
        <v>533</v>
      </c>
      <c r="F634" s="87" t="s">
        <v>535</v>
      </c>
      <c r="G634" s="230">
        <v>25</v>
      </c>
      <c r="H634" s="111">
        <v>20</v>
      </c>
      <c r="I634" s="88">
        <f t="shared" si="120"/>
        <v>1.25</v>
      </c>
      <c r="J634" s="75">
        <v>20</v>
      </c>
      <c r="K634" s="89">
        <f t="shared" si="121"/>
        <v>1.25</v>
      </c>
      <c r="L634" s="75">
        <v>2.102</v>
      </c>
      <c r="M634" s="89">
        <f t="shared" si="122"/>
        <v>11.893434823977165</v>
      </c>
    </row>
    <row r="635" spans="1:13" ht="12.75" customHeight="1">
      <c r="A635" s="108" t="s">
        <v>138</v>
      </c>
      <c r="B635" s="86" t="s">
        <v>532</v>
      </c>
      <c r="C635" s="85" t="s">
        <v>148</v>
      </c>
      <c r="D635" s="85" t="s">
        <v>236</v>
      </c>
      <c r="E635" s="85" t="s">
        <v>533</v>
      </c>
      <c r="F635" s="87" t="s">
        <v>291</v>
      </c>
      <c r="G635" s="230">
        <v>25</v>
      </c>
      <c r="H635" s="111">
        <v>24</v>
      </c>
      <c r="I635" s="88">
        <f t="shared" si="120"/>
        <v>1.0416666666666667</v>
      </c>
      <c r="J635" s="75">
        <v>17.31</v>
      </c>
      <c r="K635" s="89">
        <f t="shared" si="121"/>
        <v>1.4442518775274409</v>
      </c>
      <c r="L635" s="75">
        <v>10.61</v>
      </c>
      <c r="M635" s="89">
        <f t="shared" si="122"/>
        <v>2.35626767200754</v>
      </c>
    </row>
    <row r="636" spans="1:13" ht="12.75" customHeight="1">
      <c r="A636" s="108" t="s">
        <v>138</v>
      </c>
      <c r="B636" s="86" t="s">
        <v>536</v>
      </c>
      <c r="C636" s="85" t="s">
        <v>148</v>
      </c>
      <c r="D636" s="85" t="s">
        <v>236</v>
      </c>
      <c r="E636" s="85" t="s">
        <v>537</v>
      </c>
      <c r="F636" s="87" t="s">
        <v>536</v>
      </c>
      <c r="G636" s="230">
        <v>8.6</v>
      </c>
      <c r="H636" s="111">
        <v>0</v>
      </c>
      <c r="I636" s="88">
        <f t="shared" si="120"/>
        <v>0</v>
      </c>
      <c r="J636" s="75">
        <v>0</v>
      </c>
      <c r="K636" s="89">
        <f t="shared" si="121"/>
        <v>0</v>
      </c>
      <c r="L636" s="75">
        <v>0</v>
      </c>
      <c r="M636" s="89">
        <f t="shared" si="122"/>
        <v>0</v>
      </c>
    </row>
    <row r="637" spans="1:13" ht="12.75" customHeight="1">
      <c r="A637" s="108" t="s">
        <v>138</v>
      </c>
      <c r="B637" s="86" t="s">
        <v>532</v>
      </c>
      <c r="C637" s="85" t="s">
        <v>148</v>
      </c>
      <c r="D637" s="85" t="s">
        <v>191</v>
      </c>
      <c r="E637" s="85" t="s">
        <v>533</v>
      </c>
      <c r="F637" s="87" t="s">
        <v>238</v>
      </c>
      <c r="G637" s="230">
        <v>25</v>
      </c>
      <c r="H637" s="111">
        <v>50</v>
      </c>
      <c r="I637" s="88">
        <f t="shared" si="120"/>
        <v>0.5</v>
      </c>
      <c r="J637" s="75">
        <v>50</v>
      </c>
      <c r="K637" s="89">
        <f t="shared" si="121"/>
        <v>0.5</v>
      </c>
      <c r="L637" s="75">
        <v>42.454</v>
      </c>
      <c r="M637" s="89">
        <f t="shared" si="122"/>
        <v>0.5888726621755311</v>
      </c>
    </row>
    <row r="638" spans="1:13" ht="12.75" customHeight="1">
      <c r="A638" s="108" t="s">
        <v>138</v>
      </c>
      <c r="B638" s="86" t="s">
        <v>532</v>
      </c>
      <c r="C638" s="85" t="s">
        <v>148</v>
      </c>
      <c r="D638" s="85" t="s">
        <v>193</v>
      </c>
      <c r="E638" s="85" t="s">
        <v>533</v>
      </c>
      <c r="F638" s="87" t="s">
        <v>239</v>
      </c>
      <c r="G638" s="230">
        <v>300</v>
      </c>
      <c r="H638" s="111">
        <v>400</v>
      </c>
      <c r="I638" s="88">
        <f t="shared" si="120"/>
        <v>0.75</v>
      </c>
      <c r="J638" s="75">
        <f>400-100</f>
        <v>300</v>
      </c>
      <c r="K638" s="89">
        <f t="shared" si="121"/>
        <v>1</v>
      </c>
      <c r="L638" s="75">
        <v>259.017</v>
      </c>
      <c r="M638" s="89">
        <f t="shared" si="122"/>
        <v>1.1582251358018971</v>
      </c>
    </row>
    <row r="639" spans="1:13" ht="12.75" customHeight="1">
      <c r="A639" s="108" t="s">
        <v>138</v>
      </c>
      <c r="B639" s="86" t="s">
        <v>532</v>
      </c>
      <c r="C639" s="85" t="s">
        <v>148</v>
      </c>
      <c r="D639" s="85" t="s">
        <v>256</v>
      </c>
      <c r="E639" s="85" t="s">
        <v>533</v>
      </c>
      <c r="F639" s="87" t="s">
        <v>257</v>
      </c>
      <c r="G639" s="230">
        <v>3</v>
      </c>
      <c r="H639" s="111">
        <v>3</v>
      </c>
      <c r="I639" s="88">
        <f t="shared" si="120"/>
        <v>1</v>
      </c>
      <c r="J639" s="75">
        <v>3</v>
      </c>
      <c r="K639" s="89">
        <f t="shared" si="121"/>
        <v>1</v>
      </c>
      <c r="L639" s="75">
        <f>2.873+0.143</f>
        <v>3.016</v>
      </c>
      <c r="M639" s="89">
        <f t="shared" si="122"/>
        <v>0.9946949602122016</v>
      </c>
    </row>
    <row r="640" spans="1:13" ht="12.75" customHeight="1">
      <c r="A640" s="108" t="s">
        <v>138</v>
      </c>
      <c r="B640" s="86" t="s">
        <v>532</v>
      </c>
      <c r="C640" s="85" t="s">
        <v>148</v>
      </c>
      <c r="D640" s="85" t="s">
        <v>240</v>
      </c>
      <c r="E640" s="85" t="s">
        <v>533</v>
      </c>
      <c r="F640" s="87" t="s">
        <v>514</v>
      </c>
      <c r="G640" s="230">
        <v>0</v>
      </c>
      <c r="H640" s="111">
        <v>83</v>
      </c>
      <c r="I640" s="88">
        <f t="shared" si="120"/>
        <v>0</v>
      </c>
      <c r="J640" s="75">
        <f>83-83</f>
        <v>0</v>
      </c>
      <c r="K640" s="89">
        <f t="shared" si="121"/>
        <v>0</v>
      </c>
      <c r="L640" s="75">
        <v>0</v>
      </c>
      <c r="M640" s="89">
        <f t="shared" si="122"/>
        <v>0</v>
      </c>
    </row>
    <row r="641" spans="1:13" ht="12.75" customHeight="1">
      <c r="A641" s="108" t="s">
        <v>138</v>
      </c>
      <c r="B641" s="86" t="s">
        <v>532</v>
      </c>
      <c r="C641" s="85" t="s">
        <v>148</v>
      </c>
      <c r="D641" s="85" t="s">
        <v>195</v>
      </c>
      <c r="E641" s="85" t="s">
        <v>533</v>
      </c>
      <c r="F641" s="87" t="s">
        <v>258</v>
      </c>
      <c r="G641" s="230">
        <v>2</v>
      </c>
      <c r="H641" s="111">
        <v>0</v>
      </c>
      <c r="I641" s="88">
        <f t="shared" si="120"/>
        <v>0</v>
      </c>
      <c r="J641" s="75">
        <v>0</v>
      </c>
      <c r="K641" s="89">
        <f t="shared" si="121"/>
        <v>0</v>
      </c>
      <c r="L641" s="75">
        <v>0</v>
      </c>
      <c r="M641" s="89">
        <f t="shared" si="122"/>
        <v>0</v>
      </c>
    </row>
    <row r="642" spans="1:13" ht="12.75" customHeight="1">
      <c r="A642" s="108" t="s">
        <v>138</v>
      </c>
      <c r="B642" s="86" t="s">
        <v>532</v>
      </c>
      <c r="C642" s="85" t="s">
        <v>148</v>
      </c>
      <c r="D642" s="85" t="s">
        <v>295</v>
      </c>
      <c r="E642" s="85" t="s">
        <v>533</v>
      </c>
      <c r="F642" s="87" t="s">
        <v>296</v>
      </c>
      <c r="G642" s="230">
        <v>2</v>
      </c>
      <c r="H642" s="111">
        <v>2</v>
      </c>
      <c r="I642" s="88">
        <f t="shared" si="120"/>
        <v>1</v>
      </c>
      <c r="J642" s="75">
        <f>2-0.5</f>
        <v>1.5</v>
      </c>
      <c r="K642" s="89">
        <f t="shared" si="121"/>
        <v>1.3333333333333333</v>
      </c>
      <c r="L642" s="75">
        <v>1.5</v>
      </c>
      <c r="M642" s="89">
        <f t="shared" si="122"/>
        <v>1.3333333333333333</v>
      </c>
    </row>
    <row r="643" spans="1:13" ht="12.75" customHeight="1" thickBot="1">
      <c r="A643" s="108" t="s">
        <v>138</v>
      </c>
      <c r="B643" s="86" t="s">
        <v>532</v>
      </c>
      <c r="C643" s="85" t="s">
        <v>148</v>
      </c>
      <c r="D643" s="85" t="s">
        <v>349</v>
      </c>
      <c r="E643" s="85" t="s">
        <v>533</v>
      </c>
      <c r="F643" s="87" t="s">
        <v>785</v>
      </c>
      <c r="G643" s="230">
        <v>0</v>
      </c>
      <c r="H643" s="111">
        <v>0</v>
      </c>
      <c r="I643" s="88">
        <f>IF(H643=0,0,$G643/H643)</f>
        <v>0</v>
      </c>
      <c r="J643" s="75">
        <f>493.5-16.54</f>
        <v>476.96</v>
      </c>
      <c r="K643" s="89">
        <f>IF(J643=0,0,$G643/J643)</f>
        <v>0</v>
      </c>
      <c r="L643" s="75">
        <v>0</v>
      </c>
      <c r="M643" s="89">
        <f>IF(L643=0,0,$G643/L643)</f>
        <v>0</v>
      </c>
    </row>
    <row r="644" spans="1:15" ht="12.75" customHeight="1">
      <c r="A644" s="109"/>
      <c r="B644" s="91" t="s">
        <v>11</v>
      </c>
      <c r="C644" s="90" t="s">
        <v>148</v>
      </c>
      <c r="D644" s="90"/>
      <c r="E644" s="90"/>
      <c r="F644" s="92"/>
      <c r="G644" s="231">
        <f>SUM(G622:G643)</f>
        <v>7571.6</v>
      </c>
      <c r="H644" s="93">
        <f>SUM(H622:H643)</f>
        <v>7724</v>
      </c>
      <c r="I644" s="94">
        <f t="shared" si="120"/>
        <v>0.9802692905230451</v>
      </c>
      <c r="J644" s="93">
        <f>SUM(J622:J643)</f>
        <v>7811.499999999999</v>
      </c>
      <c r="K644" s="94">
        <f t="shared" si="121"/>
        <v>0.969288868975229</v>
      </c>
      <c r="L644" s="93">
        <f>SUM(L622:L642)</f>
        <v>5774.357999999998</v>
      </c>
      <c r="M644" s="94">
        <f t="shared" si="122"/>
        <v>1.3112453367110253</v>
      </c>
      <c r="O644" s="80"/>
    </row>
    <row r="645" spans="9:13" ht="12.75" customHeight="1">
      <c r="I645" s="88"/>
      <c r="K645" s="89"/>
      <c r="M645" s="89"/>
    </row>
    <row r="646" spans="1:13" ht="12.75" customHeight="1">
      <c r="A646" s="108" t="s">
        <v>138</v>
      </c>
      <c r="B646" s="86" t="s">
        <v>538</v>
      </c>
      <c r="C646" s="85" t="s">
        <v>539</v>
      </c>
      <c r="D646" s="85" t="s">
        <v>253</v>
      </c>
      <c r="E646" s="85" t="s">
        <v>540</v>
      </c>
      <c r="F646" s="87" t="s">
        <v>541</v>
      </c>
      <c r="G646" s="230">
        <v>1</v>
      </c>
      <c r="H646" s="111">
        <v>0</v>
      </c>
      <c r="I646" s="88">
        <f>IF(H646=0,0,$G646/H646)</f>
        <v>0</v>
      </c>
      <c r="J646" s="75">
        <v>0</v>
      </c>
      <c r="K646" s="89">
        <f>IF(J646=0,0,$G646/J646)</f>
        <v>0</v>
      </c>
      <c r="L646" s="75">
        <v>0</v>
      </c>
      <c r="M646" s="89">
        <f>IF(L646=0,0,$G646/L646)</f>
        <v>0</v>
      </c>
    </row>
    <row r="647" spans="1:13" ht="12.75" customHeight="1">
      <c r="A647" s="108" t="s">
        <v>138</v>
      </c>
      <c r="B647" s="86" t="s">
        <v>538</v>
      </c>
      <c r="C647" s="85" t="s">
        <v>539</v>
      </c>
      <c r="D647" s="85" t="s">
        <v>191</v>
      </c>
      <c r="E647" s="85" t="s">
        <v>540</v>
      </c>
      <c r="F647" s="87" t="s">
        <v>542</v>
      </c>
      <c r="G647" s="230">
        <v>6200</v>
      </c>
      <c r="H647" s="111">
        <v>7450</v>
      </c>
      <c r="I647" s="88">
        <f>IF(H647=0,0,$G647/H647)</f>
        <v>0.8322147651006712</v>
      </c>
      <c r="J647" s="75">
        <f>7528.13-500</f>
        <v>7028.13</v>
      </c>
      <c r="K647" s="89">
        <f>IF(J647=0,0,$G647/J647)</f>
        <v>0.8821692256688479</v>
      </c>
      <c r="L647" s="75">
        <v>4949.938</v>
      </c>
      <c r="M647" s="89">
        <f>IF(L647=0,0,$G647/L647)</f>
        <v>1.2525409409168358</v>
      </c>
    </row>
    <row r="648" spans="1:13" ht="12.75" customHeight="1" thickBot="1">
      <c r="A648" s="108" t="s">
        <v>138</v>
      </c>
      <c r="B648" s="86" t="s">
        <v>538</v>
      </c>
      <c r="C648" s="85" t="s">
        <v>539</v>
      </c>
      <c r="D648" s="85" t="s">
        <v>349</v>
      </c>
      <c r="E648" s="85" t="s">
        <v>540</v>
      </c>
      <c r="F648" s="87" t="s">
        <v>785</v>
      </c>
      <c r="G648" s="230">
        <v>0</v>
      </c>
      <c r="H648" s="111">
        <v>0</v>
      </c>
      <c r="I648" s="88">
        <f>IF(H648=0,0,$G648/H648)</f>
        <v>0</v>
      </c>
      <c r="J648" s="75">
        <v>500</v>
      </c>
      <c r="K648" s="89">
        <f>IF(J648=0,0,$G648/J648)</f>
        <v>0</v>
      </c>
      <c r="L648" s="75">
        <v>0</v>
      </c>
      <c r="M648" s="89">
        <f>IF(L648=0,0,$G648/L648)</f>
        <v>0</v>
      </c>
    </row>
    <row r="649" spans="1:15" ht="12.75" customHeight="1">
      <c r="A649" s="109"/>
      <c r="B649" s="91" t="s">
        <v>11</v>
      </c>
      <c r="C649" s="90" t="s">
        <v>539</v>
      </c>
      <c r="D649" s="90"/>
      <c r="E649" s="90"/>
      <c r="F649" s="92"/>
      <c r="G649" s="231">
        <f aca="true" t="shared" si="123" ref="G649:L649">SUM(G646:G648)</f>
        <v>6201</v>
      </c>
      <c r="H649" s="93">
        <f t="shared" si="123"/>
        <v>7450</v>
      </c>
      <c r="I649" s="94">
        <f>IF(H649=0,0,$G649/H649)</f>
        <v>0.8323489932885906</v>
      </c>
      <c r="J649" s="93">
        <f t="shared" si="123"/>
        <v>7528.13</v>
      </c>
      <c r="K649" s="94">
        <f>IF(J649=0,0,$G649/J649)</f>
        <v>0.8237105363483361</v>
      </c>
      <c r="L649" s="93">
        <f t="shared" si="123"/>
        <v>4949.938</v>
      </c>
      <c r="M649" s="94">
        <f>IF(L649=0,0,$G649/L649)</f>
        <v>1.2527429636492415</v>
      </c>
      <c r="O649" s="80"/>
    </row>
    <row r="650" spans="9:13" ht="12.75" customHeight="1">
      <c r="I650" s="88"/>
      <c r="K650" s="89"/>
      <c r="M650" s="89"/>
    </row>
    <row r="651" spans="1:13" ht="12.75" customHeight="1">
      <c r="A651" s="108" t="s">
        <v>138</v>
      </c>
      <c r="B651" s="86" t="s">
        <v>543</v>
      </c>
      <c r="C651" s="85" t="s">
        <v>151</v>
      </c>
      <c r="D651" s="85" t="s">
        <v>227</v>
      </c>
      <c r="E651" s="85" t="s">
        <v>544</v>
      </c>
      <c r="F651" s="87" t="s">
        <v>228</v>
      </c>
      <c r="G651" s="230">
        <v>30</v>
      </c>
      <c r="H651" s="111">
        <v>50</v>
      </c>
      <c r="I651" s="88">
        <f>IF(H651=0,0,$G651/H651)</f>
        <v>0.6</v>
      </c>
      <c r="J651" s="75">
        <f>50-40</f>
        <v>10</v>
      </c>
      <c r="K651" s="89">
        <f>IF(J651=0,0,$G651/J651)</f>
        <v>3</v>
      </c>
      <c r="L651" s="75">
        <v>6.469</v>
      </c>
      <c r="M651" s="89">
        <f>IF(L651=0,0,$G651/L651)</f>
        <v>4.637501932292472</v>
      </c>
    </row>
    <row r="652" spans="1:13" ht="12.75" customHeight="1">
      <c r="A652" s="108" t="s">
        <v>138</v>
      </c>
      <c r="B652" s="86" t="s">
        <v>543</v>
      </c>
      <c r="C652" s="85" t="s">
        <v>151</v>
      </c>
      <c r="D652" s="85" t="s">
        <v>176</v>
      </c>
      <c r="E652" s="85" t="s">
        <v>544</v>
      </c>
      <c r="F652" s="87" t="s">
        <v>178</v>
      </c>
      <c r="G652" s="230">
        <v>50</v>
      </c>
      <c r="H652" s="111">
        <v>50</v>
      </c>
      <c r="I652" s="88">
        <f>IF(H652=0,0,$G652/H652)</f>
        <v>1</v>
      </c>
      <c r="J652" s="75">
        <v>172.08</v>
      </c>
      <c r="K652" s="89">
        <f>IF(J652=0,0,$G652/J652)</f>
        <v>0.2905625290562529</v>
      </c>
      <c r="L652" s="75">
        <v>39.732</v>
      </c>
      <c r="M652" s="89">
        <f>IF(L652=0,0,$G652/L652)</f>
        <v>1.2584314909896306</v>
      </c>
    </row>
    <row r="653" spans="1:13" ht="12.75" customHeight="1">
      <c r="A653" s="108" t="s">
        <v>138</v>
      </c>
      <c r="B653" s="86" t="s">
        <v>543</v>
      </c>
      <c r="C653" s="85" t="s">
        <v>151</v>
      </c>
      <c r="D653" s="85" t="s">
        <v>449</v>
      </c>
      <c r="E653" s="85" t="s">
        <v>544</v>
      </c>
      <c r="F653" s="87" t="s">
        <v>631</v>
      </c>
      <c r="G653" s="230">
        <v>0</v>
      </c>
      <c r="H653" s="111">
        <v>15</v>
      </c>
      <c r="I653" s="88">
        <f>IF(H653=0,0,$G653/H653)</f>
        <v>0</v>
      </c>
      <c r="J653" s="75">
        <v>0</v>
      </c>
      <c r="K653" s="89">
        <f>IF(J653=0,0,$G653/J653)</f>
        <v>0</v>
      </c>
      <c r="L653" s="75">
        <v>0</v>
      </c>
      <c r="M653" s="89">
        <f>IF(L653=0,0,$G653/L653)</f>
        <v>0</v>
      </c>
    </row>
    <row r="654" spans="1:13" ht="12.75" customHeight="1" thickBot="1">
      <c r="A654" s="108" t="s">
        <v>138</v>
      </c>
      <c r="B654" s="86" t="s">
        <v>543</v>
      </c>
      <c r="C654" s="85" t="s">
        <v>151</v>
      </c>
      <c r="D654" s="85" t="s">
        <v>349</v>
      </c>
      <c r="E654" s="85" t="s">
        <v>544</v>
      </c>
      <c r="F654" s="87" t="s">
        <v>785</v>
      </c>
      <c r="G654" s="230">
        <v>0</v>
      </c>
      <c r="H654" s="111">
        <v>0</v>
      </c>
      <c r="I654" s="88">
        <f>IF(H654=0,0,$G654/H654)</f>
        <v>0</v>
      </c>
      <c r="J654" s="75">
        <v>40</v>
      </c>
      <c r="K654" s="89">
        <f>IF(J654=0,0,$G654/J654)</f>
        <v>0</v>
      </c>
      <c r="L654" s="75">
        <v>0</v>
      </c>
      <c r="M654" s="89">
        <f>IF(L654=0,0,$G654/L654)</f>
        <v>0</v>
      </c>
    </row>
    <row r="655" spans="1:15" ht="12.75" customHeight="1">
      <c r="A655" s="109"/>
      <c r="B655" s="91" t="s">
        <v>11</v>
      </c>
      <c r="C655" s="90" t="s">
        <v>151</v>
      </c>
      <c r="D655" s="90"/>
      <c r="E655" s="90"/>
      <c r="F655" s="92"/>
      <c r="G655" s="231">
        <f aca="true" t="shared" si="124" ref="G655:L655">SUM(G651:G654)</f>
        <v>80</v>
      </c>
      <c r="H655" s="93">
        <f t="shared" si="124"/>
        <v>115</v>
      </c>
      <c r="I655" s="94">
        <f>IF(H655=0,0,$G655/H655)</f>
        <v>0.6956521739130435</v>
      </c>
      <c r="J655" s="93">
        <f t="shared" si="124"/>
        <v>222.08</v>
      </c>
      <c r="K655" s="94">
        <f>IF(J655=0,0,$G655/J655)</f>
        <v>0.36023054755043227</v>
      </c>
      <c r="L655" s="93">
        <f t="shared" si="124"/>
        <v>46.201</v>
      </c>
      <c r="M655" s="94">
        <f>IF(L655=0,0,$G655/L655)</f>
        <v>1.7315642518560204</v>
      </c>
      <c r="O655" s="80"/>
    </row>
    <row r="656" spans="9:13" ht="12.75" customHeight="1">
      <c r="I656" s="88"/>
      <c r="K656" s="89"/>
      <c r="M656" s="89"/>
    </row>
    <row r="657" spans="1:13" ht="12.75" customHeight="1">
      <c r="A657" s="108" t="s">
        <v>138</v>
      </c>
      <c r="B657" s="86" t="s">
        <v>545</v>
      </c>
      <c r="C657" s="85" t="s">
        <v>546</v>
      </c>
      <c r="D657" s="85" t="s">
        <v>227</v>
      </c>
      <c r="E657" s="85" t="s">
        <v>547</v>
      </c>
      <c r="F657" s="87" t="s">
        <v>228</v>
      </c>
      <c r="G657" s="230">
        <v>0</v>
      </c>
      <c r="H657" s="111">
        <v>8</v>
      </c>
      <c r="I657" s="88">
        <f aca="true" t="shared" si="125" ref="I657:I664">IF(H657=0,0,$G657/H657)</f>
        <v>0</v>
      </c>
      <c r="J657" s="75">
        <v>8</v>
      </c>
      <c r="K657" s="89">
        <f aca="true" t="shared" si="126" ref="K657:K664">IF(J657=0,0,$G657/J657)</f>
        <v>0</v>
      </c>
      <c r="L657" s="75">
        <v>7.59</v>
      </c>
      <c r="M657" s="89">
        <f aca="true" t="shared" si="127" ref="M657:M664">IF(L657=0,0,$G657/L657)</f>
        <v>0</v>
      </c>
    </row>
    <row r="658" spans="1:13" ht="12.75" customHeight="1">
      <c r="A658" s="108" t="s">
        <v>138</v>
      </c>
      <c r="B658" s="86" t="s">
        <v>545</v>
      </c>
      <c r="C658" s="85" t="s">
        <v>546</v>
      </c>
      <c r="D658" s="85" t="s">
        <v>176</v>
      </c>
      <c r="E658" s="85" t="s">
        <v>547</v>
      </c>
      <c r="F658" s="87" t="s">
        <v>178</v>
      </c>
      <c r="G658" s="230">
        <v>150</v>
      </c>
      <c r="H658" s="111">
        <v>150</v>
      </c>
      <c r="I658" s="88">
        <f t="shared" si="125"/>
        <v>1</v>
      </c>
      <c r="J658" s="75">
        <f>165-50</f>
        <v>115</v>
      </c>
      <c r="K658" s="89">
        <f t="shared" si="126"/>
        <v>1.3043478260869565</v>
      </c>
      <c r="L658" s="75">
        <v>86.937</v>
      </c>
      <c r="M658" s="89">
        <f t="shared" si="127"/>
        <v>1.7253873494599539</v>
      </c>
    </row>
    <row r="659" spans="1:13" ht="12.75" customHeight="1">
      <c r="A659" s="108" t="s">
        <v>138</v>
      </c>
      <c r="B659" s="86" t="s">
        <v>545</v>
      </c>
      <c r="C659" s="85" t="s">
        <v>546</v>
      </c>
      <c r="D659" s="85" t="s">
        <v>189</v>
      </c>
      <c r="E659" s="85" t="s">
        <v>547</v>
      </c>
      <c r="F659" s="87" t="s">
        <v>535</v>
      </c>
      <c r="G659" s="230">
        <v>0</v>
      </c>
      <c r="H659" s="111">
        <v>0</v>
      </c>
      <c r="I659" s="88">
        <f t="shared" si="125"/>
        <v>0</v>
      </c>
      <c r="J659" s="75">
        <v>4.5</v>
      </c>
      <c r="K659" s="89">
        <f t="shared" si="126"/>
        <v>0</v>
      </c>
      <c r="L659" s="75">
        <v>4.5</v>
      </c>
      <c r="M659" s="89">
        <f t="shared" si="127"/>
        <v>0</v>
      </c>
    </row>
    <row r="660" spans="1:13" ht="12.75" customHeight="1">
      <c r="A660" s="108" t="s">
        <v>138</v>
      </c>
      <c r="B660" s="86" t="s">
        <v>545</v>
      </c>
      <c r="C660" s="85" t="s">
        <v>546</v>
      </c>
      <c r="D660" s="85" t="s">
        <v>191</v>
      </c>
      <c r="E660" s="85" t="s">
        <v>547</v>
      </c>
      <c r="F660" s="87" t="s">
        <v>238</v>
      </c>
      <c r="G660" s="230">
        <v>50</v>
      </c>
      <c r="H660" s="111">
        <v>50</v>
      </c>
      <c r="I660" s="88">
        <f t="shared" si="125"/>
        <v>1</v>
      </c>
      <c r="J660" s="75">
        <v>50</v>
      </c>
      <c r="K660" s="89">
        <f t="shared" si="126"/>
        <v>1</v>
      </c>
      <c r="L660" s="75">
        <v>31.68</v>
      </c>
      <c r="M660" s="89">
        <f t="shared" si="127"/>
        <v>1.5782828282828283</v>
      </c>
    </row>
    <row r="661" spans="1:13" ht="12.75" customHeight="1">
      <c r="A661" s="108" t="s">
        <v>138</v>
      </c>
      <c r="B661" s="86" t="s">
        <v>545</v>
      </c>
      <c r="C661" s="85" t="s">
        <v>546</v>
      </c>
      <c r="D661" s="85" t="s">
        <v>193</v>
      </c>
      <c r="E661" s="85" t="s">
        <v>547</v>
      </c>
      <c r="F661" s="87" t="s">
        <v>239</v>
      </c>
      <c r="G661" s="230">
        <v>30</v>
      </c>
      <c r="H661" s="111">
        <v>30</v>
      </c>
      <c r="I661" s="88">
        <f t="shared" si="125"/>
        <v>1</v>
      </c>
      <c r="J661" s="75">
        <v>30</v>
      </c>
      <c r="K661" s="89">
        <f t="shared" si="126"/>
        <v>1</v>
      </c>
      <c r="L661" s="75">
        <v>9.823</v>
      </c>
      <c r="M661" s="89">
        <f t="shared" si="127"/>
        <v>3.0540568054565815</v>
      </c>
    </row>
    <row r="662" spans="1:13" ht="12.75" customHeight="1">
      <c r="A662" s="108" t="s">
        <v>138</v>
      </c>
      <c r="B662" s="86" t="s">
        <v>545</v>
      </c>
      <c r="C662" s="85" t="s">
        <v>546</v>
      </c>
      <c r="D662" s="85" t="s">
        <v>478</v>
      </c>
      <c r="E662" s="85" t="s">
        <v>632</v>
      </c>
      <c r="F662" s="87" t="s">
        <v>634</v>
      </c>
      <c r="G662" s="230">
        <v>0</v>
      </c>
      <c r="H662" s="111">
        <v>170</v>
      </c>
      <c r="I662" s="88">
        <f t="shared" si="125"/>
        <v>0</v>
      </c>
      <c r="J662" s="75">
        <v>170</v>
      </c>
      <c r="K662" s="89">
        <f t="shared" si="126"/>
        <v>0</v>
      </c>
      <c r="L662" s="75">
        <v>157.2</v>
      </c>
      <c r="M662" s="89">
        <f t="shared" si="127"/>
        <v>0</v>
      </c>
    </row>
    <row r="663" spans="1:13" ht="12.75" customHeight="1" thickBot="1">
      <c r="A663" s="108" t="s">
        <v>138</v>
      </c>
      <c r="B663" s="86" t="s">
        <v>545</v>
      </c>
      <c r="C663" s="85" t="s">
        <v>546</v>
      </c>
      <c r="D663" s="85" t="s">
        <v>349</v>
      </c>
      <c r="E663" s="85" t="s">
        <v>547</v>
      </c>
      <c r="F663" s="87" t="s">
        <v>785</v>
      </c>
      <c r="G663" s="230">
        <v>0</v>
      </c>
      <c r="H663" s="111">
        <v>0</v>
      </c>
      <c r="I663" s="88">
        <f>IF(H663=0,0,$G663/H663)</f>
        <v>0</v>
      </c>
      <c r="J663" s="75">
        <v>50</v>
      </c>
      <c r="K663" s="89">
        <f>IF(J663=0,0,$G663/J663)</f>
        <v>0</v>
      </c>
      <c r="L663" s="75">
        <v>0</v>
      </c>
      <c r="M663" s="89">
        <f>IF(L663=0,0,$G663/L663)</f>
        <v>0</v>
      </c>
    </row>
    <row r="664" spans="1:15" ht="12.75" customHeight="1">
      <c r="A664" s="109"/>
      <c r="B664" s="91" t="s">
        <v>11</v>
      </c>
      <c r="C664" s="90" t="s">
        <v>546</v>
      </c>
      <c r="D664" s="90"/>
      <c r="E664" s="90"/>
      <c r="F664" s="92"/>
      <c r="G664" s="231">
        <f>SUM(G657:G663)</f>
        <v>230</v>
      </c>
      <c r="H664" s="93">
        <f>SUM(H657:H663)</f>
        <v>408</v>
      </c>
      <c r="I664" s="94">
        <f t="shared" si="125"/>
        <v>0.5637254901960784</v>
      </c>
      <c r="J664" s="93">
        <f>SUM(J657:J663)</f>
        <v>427.5</v>
      </c>
      <c r="K664" s="94">
        <f t="shared" si="126"/>
        <v>0.5380116959064327</v>
      </c>
      <c r="L664" s="93">
        <f>SUM(L657:L663)</f>
        <v>297.73</v>
      </c>
      <c r="M664" s="94">
        <f t="shared" si="127"/>
        <v>0.7725120075235952</v>
      </c>
      <c r="O664" s="80"/>
    </row>
    <row r="665" spans="9:13" ht="12.75" customHeight="1">
      <c r="I665" s="88"/>
      <c r="K665" s="89"/>
      <c r="M665" s="89"/>
    </row>
    <row r="666" spans="1:15" ht="12.75" customHeight="1">
      <c r="A666" s="107"/>
      <c r="B666" s="95" t="s">
        <v>155</v>
      </c>
      <c r="C666" s="81"/>
      <c r="D666" s="81"/>
      <c r="E666" s="81"/>
      <c r="F666" s="96"/>
      <c r="G666" s="232">
        <f>SUM(G588,G595,G600,G610,G620,G644,G649,G655,G664)</f>
        <v>15725.816</v>
      </c>
      <c r="H666" s="103">
        <f>SUM(H588,H595,H600,H610,H620,H644,H649,H655,H664)</f>
        <v>16783</v>
      </c>
      <c r="I666" s="98">
        <f>IF(H666=0,0,$G666/H666)</f>
        <v>0.9370086396949294</v>
      </c>
      <c r="J666" s="97">
        <f>SUM(J588,J595,J600,J610,J620,J644,J649,J655,J664)</f>
        <v>17828.33</v>
      </c>
      <c r="K666" s="99">
        <f>IF(J666=0,0,$G666/J666)</f>
        <v>0.8820689318629394</v>
      </c>
      <c r="L666" s="97">
        <f>SUM(L588,L595,L600,L610,L620,L644,L649,L655,L664)</f>
        <v>12355.709999999997</v>
      </c>
      <c r="M666" s="99">
        <f>IF(L666=0,0,$G666/L666)</f>
        <v>1.2727569682357391</v>
      </c>
      <c r="O666" s="80"/>
    </row>
    <row r="667" spans="9:13" ht="12.75" customHeight="1">
      <c r="I667" s="88"/>
      <c r="K667" s="89"/>
      <c r="M667" s="89"/>
    </row>
    <row r="668" spans="9:13" ht="12.75" customHeight="1">
      <c r="I668" s="88"/>
      <c r="K668" s="89"/>
      <c r="M668" s="89"/>
    </row>
    <row r="669" spans="1:13" ht="12.75" customHeight="1">
      <c r="A669" s="108" t="s">
        <v>548</v>
      </c>
      <c r="B669" s="86" t="s">
        <v>549</v>
      </c>
      <c r="C669" s="85" t="s">
        <v>18</v>
      </c>
      <c r="D669" s="85" t="s">
        <v>266</v>
      </c>
      <c r="E669" s="85" t="s">
        <v>550</v>
      </c>
      <c r="F669" s="87" t="s">
        <v>801</v>
      </c>
      <c r="G669" s="230">
        <v>656</v>
      </c>
      <c r="H669" s="111">
        <v>390</v>
      </c>
      <c r="I669" s="88">
        <f aca="true" t="shared" si="128" ref="I669:I680">IF(H669=0,0,$G669/H669)</f>
        <v>1.682051282051282</v>
      </c>
      <c r="J669" s="75">
        <v>396.69</v>
      </c>
      <c r="K669" s="89">
        <f aca="true" t="shared" si="129" ref="K669:K680">IF(J669=0,0,$G669/J669)</f>
        <v>1.6536842370616855</v>
      </c>
      <c r="L669" s="75">
        <f>361.44-2.843</f>
        <v>358.597</v>
      </c>
      <c r="M669" s="89">
        <f aca="true" t="shared" si="130" ref="M669:M680">IF(L669=0,0,$G669/L669)</f>
        <v>1.829351611976676</v>
      </c>
    </row>
    <row r="670" spans="1:13" ht="12.75" customHeight="1">
      <c r="A670" s="108" t="s">
        <v>548</v>
      </c>
      <c r="B670" s="86" t="s">
        <v>549</v>
      </c>
      <c r="C670" s="85" t="s">
        <v>18</v>
      </c>
      <c r="D670" s="85" t="s">
        <v>217</v>
      </c>
      <c r="E670" s="85" t="s">
        <v>550</v>
      </c>
      <c r="F670" s="87" t="s">
        <v>300</v>
      </c>
      <c r="G670" s="230">
        <v>96</v>
      </c>
      <c r="H670" s="111">
        <v>0</v>
      </c>
      <c r="I670" s="88">
        <f t="shared" si="128"/>
        <v>0</v>
      </c>
      <c r="J670" s="75">
        <v>0</v>
      </c>
      <c r="K670" s="89">
        <f t="shared" si="129"/>
        <v>0</v>
      </c>
      <c r="L670" s="75">
        <v>0</v>
      </c>
      <c r="M670" s="89">
        <f t="shared" si="130"/>
        <v>0</v>
      </c>
    </row>
    <row r="671" spans="1:13" ht="12.75" customHeight="1">
      <c r="A671" s="108" t="s">
        <v>548</v>
      </c>
      <c r="B671" s="86" t="s">
        <v>549</v>
      </c>
      <c r="C671" s="85" t="s">
        <v>18</v>
      </c>
      <c r="D671" s="85" t="s">
        <v>220</v>
      </c>
      <c r="E671" s="85" t="s">
        <v>550</v>
      </c>
      <c r="F671" s="87" t="s">
        <v>221</v>
      </c>
      <c r="G671" s="230">
        <v>188</v>
      </c>
      <c r="H671" s="111">
        <v>97</v>
      </c>
      <c r="I671" s="88">
        <f t="shared" si="128"/>
        <v>1.9381443298969072</v>
      </c>
      <c r="J671" s="75">
        <v>98.67</v>
      </c>
      <c r="K671" s="89">
        <f t="shared" si="129"/>
        <v>1.9053410357758183</v>
      </c>
      <c r="L671" s="75">
        <v>88.587</v>
      </c>
      <c r="M671" s="89">
        <f t="shared" si="130"/>
        <v>2.1222075473827986</v>
      </c>
    </row>
    <row r="672" spans="1:13" ht="12.75" customHeight="1">
      <c r="A672" s="108" t="s">
        <v>548</v>
      </c>
      <c r="B672" s="86" t="s">
        <v>549</v>
      </c>
      <c r="C672" s="85" t="s">
        <v>18</v>
      </c>
      <c r="D672" s="85" t="s">
        <v>222</v>
      </c>
      <c r="E672" s="85" t="s">
        <v>550</v>
      </c>
      <c r="F672" s="87" t="s">
        <v>223</v>
      </c>
      <c r="G672" s="230">
        <v>68</v>
      </c>
      <c r="H672" s="111">
        <v>35</v>
      </c>
      <c r="I672" s="88">
        <f t="shared" si="128"/>
        <v>1.9428571428571428</v>
      </c>
      <c r="J672" s="75">
        <v>35.6</v>
      </c>
      <c r="K672" s="89">
        <f t="shared" si="129"/>
        <v>1.9101123595505618</v>
      </c>
      <c r="L672" s="75">
        <v>31.891</v>
      </c>
      <c r="M672" s="89">
        <f t="shared" si="130"/>
        <v>2.132263020914992</v>
      </c>
    </row>
    <row r="673" spans="1:13" ht="12.75" customHeight="1">
      <c r="A673" s="108" t="s">
        <v>548</v>
      </c>
      <c r="B673" s="86" t="s">
        <v>549</v>
      </c>
      <c r="C673" s="85" t="s">
        <v>18</v>
      </c>
      <c r="D673" s="85" t="s">
        <v>253</v>
      </c>
      <c r="E673" s="85" t="s">
        <v>550</v>
      </c>
      <c r="F673" s="87" t="s">
        <v>417</v>
      </c>
      <c r="G673" s="230">
        <v>5</v>
      </c>
      <c r="H673" s="111">
        <v>3</v>
      </c>
      <c r="I673" s="88">
        <f t="shared" si="128"/>
        <v>1.6666666666666667</v>
      </c>
      <c r="J673" s="75">
        <v>3</v>
      </c>
      <c r="K673" s="89">
        <f t="shared" si="129"/>
        <v>1.6666666666666667</v>
      </c>
      <c r="L673" s="75">
        <v>1.173</v>
      </c>
      <c r="M673" s="89">
        <f t="shared" si="130"/>
        <v>4.262574595055414</v>
      </c>
    </row>
    <row r="674" spans="1:13" ht="12.75" customHeight="1">
      <c r="A674" s="108" t="s">
        <v>548</v>
      </c>
      <c r="B674" s="86" t="s">
        <v>549</v>
      </c>
      <c r="C674" s="85" t="s">
        <v>18</v>
      </c>
      <c r="D674" s="85" t="s">
        <v>227</v>
      </c>
      <c r="E674" s="85" t="s">
        <v>550</v>
      </c>
      <c r="F674" s="87" t="s">
        <v>228</v>
      </c>
      <c r="G674" s="230">
        <v>2</v>
      </c>
      <c r="H674" s="111">
        <v>1</v>
      </c>
      <c r="I674" s="88">
        <f t="shared" si="128"/>
        <v>2</v>
      </c>
      <c r="J674" s="75">
        <v>1.4</v>
      </c>
      <c r="K674" s="89">
        <f t="shared" si="129"/>
        <v>1.4285714285714286</v>
      </c>
      <c r="L674" s="75">
        <v>1.399</v>
      </c>
      <c r="M674" s="89">
        <f t="shared" si="130"/>
        <v>1.4295925661186561</v>
      </c>
    </row>
    <row r="675" spans="1:13" ht="12.75" customHeight="1">
      <c r="A675" s="108" t="s">
        <v>548</v>
      </c>
      <c r="B675" s="86" t="s">
        <v>549</v>
      </c>
      <c r="C675" s="85" t="s">
        <v>18</v>
      </c>
      <c r="D675" s="85" t="s">
        <v>176</v>
      </c>
      <c r="E675" s="85" t="s">
        <v>550</v>
      </c>
      <c r="F675" s="87" t="s">
        <v>213</v>
      </c>
      <c r="G675" s="230">
        <v>6</v>
      </c>
      <c r="H675" s="111">
        <v>4</v>
      </c>
      <c r="I675" s="88">
        <f t="shared" si="128"/>
        <v>1.5</v>
      </c>
      <c r="J675" s="75">
        <v>4</v>
      </c>
      <c r="K675" s="89">
        <f t="shared" si="129"/>
        <v>1.5</v>
      </c>
      <c r="L675" s="75">
        <v>2.99</v>
      </c>
      <c r="M675" s="89">
        <f t="shared" si="130"/>
        <v>2.0066889632107023</v>
      </c>
    </row>
    <row r="676" spans="1:13" ht="12.75" customHeight="1">
      <c r="A676" s="108" t="s">
        <v>548</v>
      </c>
      <c r="B676" s="86" t="s">
        <v>549</v>
      </c>
      <c r="C676" s="85" t="s">
        <v>18</v>
      </c>
      <c r="D676" s="85" t="s">
        <v>187</v>
      </c>
      <c r="E676" s="85" t="s">
        <v>550</v>
      </c>
      <c r="F676" s="87" t="s">
        <v>288</v>
      </c>
      <c r="G676" s="230">
        <v>20</v>
      </c>
      <c r="H676" s="111">
        <v>10</v>
      </c>
      <c r="I676" s="88">
        <f t="shared" si="128"/>
        <v>2</v>
      </c>
      <c r="J676" s="75">
        <v>10</v>
      </c>
      <c r="K676" s="89">
        <f t="shared" si="129"/>
        <v>2</v>
      </c>
      <c r="L676" s="75">
        <v>5.853</v>
      </c>
      <c r="M676" s="89">
        <f t="shared" si="130"/>
        <v>3.4170510849137194</v>
      </c>
    </row>
    <row r="677" spans="1:13" ht="12.75" customHeight="1">
      <c r="A677" s="108" t="s">
        <v>548</v>
      </c>
      <c r="B677" s="86" t="s">
        <v>549</v>
      </c>
      <c r="C677" s="85" t="s">
        <v>18</v>
      </c>
      <c r="D677" s="85" t="s">
        <v>236</v>
      </c>
      <c r="E677" s="85" t="s">
        <v>550</v>
      </c>
      <c r="F677" s="87" t="s">
        <v>237</v>
      </c>
      <c r="G677" s="230">
        <v>10.2</v>
      </c>
      <c r="H677" s="111">
        <v>10.2</v>
      </c>
      <c r="I677" s="88">
        <f t="shared" si="128"/>
        <v>1</v>
      </c>
      <c r="J677" s="75">
        <v>0.56</v>
      </c>
      <c r="K677" s="89">
        <f t="shared" si="129"/>
        <v>18.21428571428571</v>
      </c>
      <c r="L677" s="75">
        <v>0</v>
      </c>
      <c r="M677" s="89">
        <f t="shared" si="130"/>
        <v>0</v>
      </c>
    </row>
    <row r="678" spans="1:13" ht="12.75" customHeight="1">
      <c r="A678" s="108" t="s">
        <v>548</v>
      </c>
      <c r="B678" s="86" t="s">
        <v>549</v>
      </c>
      <c r="C678" s="85" t="s">
        <v>18</v>
      </c>
      <c r="D678" s="85" t="s">
        <v>256</v>
      </c>
      <c r="E678" s="85" t="s">
        <v>550</v>
      </c>
      <c r="F678" s="87" t="s">
        <v>423</v>
      </c>
      <c r="G678" s="230">
        <v>20</v>
      </c>
      <c r="H678" s="111">
        <v>15</v>
      </c>
      <c r="I678" s="88">
        <f t="shared" si="128"/>
        <v>1.3333333333333333</v>
      </c>
      <c r="J678" s="75">
        <v>15</v>
      </c>
      <c r="K678" s="89">
        <f t="shared" si="129"/>
        <v>1.3333333333333333</v>
      </c>
      <c r="L678" s="75">
        <v>8.691</v>
      </c>
      <c r="M678" s="89">
        <f t="shared" si="130"/>
        <v>2.3012311586698884</v>
      </c>
    </row>
    <row r="679" spans="1:13" ht="12.75" customHeight="1" thickBot="1">
      <c r="A679" s="108" t="s">
        <v>548</v>
      </c>
      <c r="B679" s="86" t="s">
        <v>549</v>
      </c>
      <c r="C679" s="85" t="s">
        <v>18</v>
      </c>
      <c r="D679" s="85" t="s">
        <v>195</v>
      </c>
      <c r="E679" s="85" t="s">
        <v>550</v>
      </c>
      <c r="F679" s="87" t="s">
        <v>214</v>
      </c>
      <c r="G679" s="230">
        <v>0</v>
      </c>
      <c r="H679" s="111">
        <v>0</v>
      </c>
      <c r="I679" s="88">
        <f t="shared" si="128"/>
        <v>0</v>
      </c>
      <c r="J679" s="75">
        <v>0</v>
      </c>
      <c r="K679" s="89">
        <f t="shared" si="129"/>
        <v>0</v>
      </c>
      <c r="L679" s="75">
        <v>0</v>
      </c>
      <c r="M679" s="89">
        <f t="shared" si="130"/>
        <v>0</v>
      </c>
    </row>
    <row r="680" spans="1:15" ht="12.75" customHeight="1">
      <c r="A680" s="109"/>
      <c r="B680" s="91" t="s">
        <v>11</v>
      </c>
      <c r="C680" s="90" t="s">
        <v>18</v>
      </c>
      <c r="D680" s="90"/>
      <c r="E680" s="90"/>
      <c r="F680" s="92"/>
      <c r="G680" s="231">
        <f>SUM(G669:G679)</f>
        <v>1071.2</v>
      </c>
      <c r="H680" s="93">
        <f>SUM(H669:H679)</f>
        <v>565.2</v>
      </c>
      <c r="I680" s="94">
        <f t="shared" si="128"/>
        <v>1.8952583156404812</v>
      </c>
      <c r="J680" s="93">
        <f>SUM(J669:J679)</f>
        <v>564.92</v>
      </c>
      <c r="K680" s="94">
        <f t="shared" si="129"/>
        <v>1.8961976917085608</v>
      </c>
      <c r="L680" s="93">
        <f>SUM(L669:L679)</f>
        <v>499.181</v>
      </c>
      <c r="M680" s="94">
        <f t="shared" si="130"/>
        <v>2.145915008784389</v>
      </c>
      <c r="O680" s="80"/>
    </row>
    <row r="681" spans="9:13" ht="12.75" customHeight="1">
      <c r="I681" s="88"/>
      <c r="K681" s="89"/>
      <c r="M681" s="89"/>
    </row>
    <row r="682" spans="1:15" ht="12.75" customHeight="1">
      <c r="A682" s="107"/>
      <c r="B682" s="95" t="s">
        <v>551</v>
      </c>
      <c r="C682" s="81"/>
      <c r="D682" s="81"/>
      <c r="E682" s="81"/>
      <c r="F682" s="96"/>
      <c r="G682" s="232">
        <f>SUM(G680)</f>
        <v>1071.2</v>
      </c>
      <c r="H682" s="103">
        <f>SUM(H680)</f>
        <v>565.2</v>
      </c>
      <c r="I682" s="98">
        <f>IF(H682=0,0,$G682/H682)</f>
        <v>1.8952583156404812</v>
      </c>
      <c r="J682" s="97">
        <f>SUM(J680)</f>
        <v>564.92</v>
      </c>
      <c r="K682" s="99">
        <f>IF(J682=0,0,$G682/J682)</f>
        <v>1.8961976917085608</v>
      </c>
      <c r="L682" s="97">
        <f>SUM(L680)</f>
        <v>499.181</v>
      </c>
      <c r="M682" s="99">
        <f>IF(L682=0,0,$G682/L682)</f>
        <v>2.145915008784389</v>
      </c>
      <c r="O682" s="80"/>
    </row>
    <row r="683" spans="9:13" ht="12.75" customHeight="1">
      <c r="I683" s="88"/>
      <c r="K683" s="89"/>
      <c r="M683" s="89"/>
    </row>
    <row r="684" spans="9:13" ht="12.75" customHeight="1">
      <c r="I684" s="88"/>
      <c r="K684" s="89"/>
      <c r="M684" s="89"/>
    </row>
    <row r="685" spans="1:13" ht="12.75" customHeight="1">
      <c r="A685" s="108" t="s">
        <v>156</v>
      </c>
      <c r="B685" s="86" t="s">
        <v>552</v>
      </c>
      <c r="C685" s="85" t="s">
        <v>158</v>
      </c>
      <c r="D685" s="85" t="s">
        <v>266</v>
      </c>
      <c r="E685" s="85" t="s">
        <v>553</v>
      </c>
      <c r="F685" s="87" t="s">
        <v>802</v>
      </c>
      <c r="G685" s="230">
        <v>1008</v>
      </c>
      <c r="H685" s="111">
        <v>960</v>
      </c>
      <c r="I685" s="88">
        <f aca="true" t="shared" si="131" ref="I685:I704">IF(H685=0,0,$G685/H685)</f>
        <v>1.05</v>
      </c>
      <c r="J685" s="75">
        <v>962.29</v>
      </c>
      <c r="K685" s="89">
        <f aca="true" t="shared" si="132" ref="K685:K704">IF(J685=0,0,$G685/J685)</f>
        <v>1.0475012730050193</v>
      </c>
      <c r="L685" s="75">
        <v>650.108</v>
      </c>
      <c r="M685" s="89">
        <f aca="true" t="shared" si="133" ref="M685:M704">IF(L685=0,0,$G685/L685)</f>
        <v>1.5505116073021714</v>
      </c>
    </row>
    <row r="686" spans="1:13" ht="12.75" customHeight="1">
      <c r="A686" s="108" t="s">
        <v>156</v>
      </c>
      <c r="B686" s="86" t="s">
        <v>552</v>
      </c>
      <c r="C686" s="85" t="s">
        <v>158</v>
      </c>
      <c r="D686" s="85" t="s">
        <v>220</v>
      </c>
      <c r="E686" s="85" t="s">
        <v>553</v>
      </c>
      <c r="F686" s="87" t="s">
        <v>554</v>
      </c>
      <c r="G686" s="230">
        <v>252</v>
      </c>
      <c r="H686" s="111">
        <v>240</v>
      </c>
      <c r="I686" s="88">
        <f t="shared" si="131"/>
        <v>1.05</v>
      </c>
      <c r="J686" s="75">
        <v>243.39</v>
      </c>
      <c r="K686" s="89">
        <f t="shared" si="132"/>
        <v>1.0353753235547887</v>
      </c>
      <c r="L686" s="75">
        <v>164.597</v>
      </c>
      <c r="M686" s="89">
        <f t="shared" si="133"/>
        <v>1.5310121083616346</v>
      </c>
    </row>
    <row r="687" spans="1:13" ht="12.75" customHeight="1">
      <c r="A687" s="108" t="s">
        <v>156</v>
      </c>
      <c r="B687" s="86" t="s">
        <v>552</v>
      </c>
      <c r="C687" s="85" t="s">
        <v>158</v>
      </c>
      <c r="D687" s="85" t="s">
        <v>222</v>
      </c>
      <c r="E687" s="85" t="s">
        <v>553</v>
      </c>
      <c r="F687" s="87" t="s">
        <v>555</v>
      </c>
      <c r="G687" s="230">
        <v>91</v>
      </c>
      <c r="H687" s="111">
        <v>86</v>
      </c>
      <c r="I687" s="88">
        <f t="shared" si="131"/>
        <v>1.058139534883721</v>
      </c>
      <c r="J687" s="75">
        <v>87.22</v>
      </c>
      <c r="K687" s="89">
        <f t="shared" si="132"/>
        <v>1.043338683788122</v>
      </c>
      <c r="L687" s="75">
        <v>58.786</v>
      </c>
      <c r="M687" s="89">
        <f t="shared" si="133"/>
        <v>1.547987616099071</v>
      </c>
    </row>
    <row r="688" spans="1:13" ht="12.75" customHeight="1">
      <c r="A688" s="108" t="s">
        <v>156</v>
      </c>
      <c r="B688" s="86" t="s">
        <v>552</v>
      </c>
      <c r="C688" s="85" t="s">
        <v>158</v>
      </c>
      <c r="D688" s="85" t="s">
        <v>211</v>
      </c>
      <c r="E688" s="85" t="s">
        <v>553</v>
      </c>
      <c r="F688" s="87" t="s">
        <v>212</v>
      </c>
      <c r="G688" s="230">
        <v>4</v>
      </c>
      <c r="H688" s="111">
        <v>3</v>
      </c>
      <c r="I688" s="88">
        <f t="shared" si="131"/>
        <v>1.3333333333333333</v>
      </c>
      <c r="J688" s="75">
        <v>0</v>
      </c>
      <c r="K688" s="89">
        <f t="shared" si="132"/>
        <v>0</v>
      </c>
      <c r="L688" s="75">
        <v>0</v>
      </c>
      <c r="M688" s="89">
        <f t="shared" si="133"/>
        <v>0</v>
      </c>
    </row>
    <row r="689" spans="1:13" ht="12.75" customHeight="1">
      <c r="A689" s="108" t="s">
        <v>156</v>
      </c>
      <c r="B689" s="86" t="s">
        <v>552</v>
      </c>
      <c r="C689" s="85" t="s">
        <v>158</v>
      </c>
      <c r="D689" s="85" t="s">
        <v>227</v>
      </c>
      <c r="E689" s="85" t="s">
        <v>553</v>
      </c>
      <c r="F689" s="87" t="s">
        <v>527</v>
      </c>
      <c r="G689" s="230">
        <v>25</v>
      </c>
      <c r="H689" s="111">
        <v>40</v>
      </c>
      <c r="I689" s="88">
        <f t="shared" si="131"/>
        <v>0.625</v>
      </c>
      <c r="J689" s="75">
        <v>35</v>
      </c>
      <c r="K689" s="89">
        <f t="shared" si="132"/>
        <v>0.7142857142857143</v>
      </c>
      <c r="L689" s="75">
        <v>12.201</v>
      </c>
      <c r="M689" s="89">
        <f t="shared" si="133"/>
        <v>2.049012376034751</v>
      </c>
    </row>
    <row r="690" spans="1:13" ht="12.75" customHeight="1">
      <c r="A690" s="108" t="s">
        <v>156</v>
      </c>
      <c r="B690" s="86" t="s">
        <v>552</v>
      </c>
      <c r="C690" s="85" t="s">
        <v>158</v>
      </c>
      <c r="D690" s="85" t="s">
        <v>340</v>
      </c>
      <c r="E690" s="85" t="s">
        <v>553</v>
      </c>
      <c r="F690" s="87" t="s">
        <v>556</v>
      </c>
      <c r="G690" s="230">
        <v>500</v>
      </c>
      <c r="H690" s="111">
        <v>550</v>
      </c>
      <c r="I690" s="88">
        <f t="shared" si="131"/>
        <v>0.9090909090909091</v>
      </c>
      <c r="J690" s="75">
        <v>550</v>
      </c>
      <c r="K690" s="89">
        <f t="shared" si="132"/>
        <v>0.9090909090909091</v>
      </c>
      <c r="L690" s="75">
        <v>271.2</v>
      </c>
      <c r="M690" s="89">
        <f t="shared" si="133"/>
        <v>1.8436578171091447</v>
      </c>
    </row>
    <row r="691" spans="1:13" ht="12.75" customHeight="1">
      <c r="A691" s="108" t="s">
        <v>156</v>
      </c>
      <c r="B691" s="86" t="s">
        <v>552</v>
      </c>
      <c r="C691" s="85" t="s">
        <v>158</v>
      </c>
      <c r="D691" s="85" t="s">
        <v>176</v>
      </c>
      <c r="E691" s="85" t="s">
        <v>553</v>
      </c>
      <c r="F691" s="87" t="s">
        <v>557</v>
      </c>
      <c r="G691" s="230">
        <v>30</v>
      </c>
      <c r="H691" s="111">
        <v>6</v>
      </c>
      <c r="I691" s="88">
        <f t="shared" si="131"/>
        <v>5</v>
      </c>
      <c r="J691" s="75">
        <v>20.5</v>
      </c>
      <c r="K691" s="89">
        <f t="shared" si="132"/>
        <v>1.4634146341463414</v>
      </c>
      <c r="L691" s="75">
        <v>9.052</v>
      </c>
      <c r="M691" s="89">
        <f t="shared" si="133"/>
        <v>3.314184710561202</v>
      </c>
    </row>
    <row r="692" spans="1:13" ht="12.75" customHeight="1">
      <c r="A692" s="108" t="s">
        <v>156</v>
      </c>
      <c r="B692" s="86" t="s">
        <v>552</v>
      </c>
      <c r="C692" s="85" t="s">
        <v>158</v>
      </c>
      <c r="D692" s="85" t="s">
        <v>179</v>
      </c>
      <c r="E692" s="85" t="s">
        <v>553</v>
      </c>
      <c r="F692" s="87" t="s">
        <v>558</v>
      </c>
      <c r="G692" s="230">
        <v>10</v>
      </c>
      <c r="H692" s="111">
        <v>10</v>
      </c>
      <c r="I692" s="88">
        <f t="shared" si="131"/>
        <v>1</v>
      </c>
      <c r="J692" s="75">
        <v>10</v>
      </c>
      <c r="K692" s="89">
        <f t="shared" si="132"/>
        <v>1</v>
      </c>
      <c r="L692" s="75">
        <v>10</v>
      </c>
      <c r="M692" s="89">
        <f t="shared" si="133"/>
        <v>1</v>
      </c>
    </row>
    <row r="693" spans="1:13" ht="12.75" customHeight="1">
      <c r="A693" s="108" t="s">
        <v>156</v>
      </c>
      <c r="B693" s="86" t="s">
        <v>552</v>
      </c>
      <c r="C693" s="85" t="s">
        <v>158</v>
      </c>
      <c r="D693" s="85" t="s">
        <v>181</v>
      </c>
      <c r="E693" s="85" t="s">
        <v>553</v>
      </c>
      <c r="F693" s="87" t="s">
        <v>230</v>
      </c>
      <c r="G693" s="230">
        <v>20</v>
      </c>
      <c r="H693" s="111">
        <v>20</v>
      </c>
      <c r="I693" s="88">
        <f t="shared" si="131"/>
        <v>1</v>
      </c>
      <c r="J693" s="75">
        <v>20</v>
      </c>
      <c r="K693" s="89">
        <f t="shared" si="132"/>
        <v>1</v>
      </c>
      <c r="L693" s="75">
        <v>20</v>
      </c>
      <c r="M693" s="89">
        <f t="shared" si="133"/>
        <v>1</v>
      </c>
    </row>
    <row r="694" spans="1:13" ht="12.75" customHeight="1">
      <c r="A694" s="108" t="s">
        <v>156</v>
      </c>
      <c r="B694" s="86" t="s">
        <v>552</v>
      </c>
      <c r="C694" s="85" t="s">
        <v>158</v>
      </c>
      <c r="D694" s="85" t="s">
        <v>183</v>
      </c>
      <c r="E694" s="85" t="s">
        <v>553</v>
      </c>
      <c r="F694" s="87" t="s">
        <v>559</v>
      </c>
      <c r="G694" s="230">
        <v>20</v>
      </c>
      <c r="H694" s="111">
        <v>20</v>
      </c>
      <c r="I694" s="88">
        <f t="shared" si="131"/>
        <v>1</v>
      </c>
      <c r="J694" s="75">
        <v>20</v>
      </c>
      <c r="K694" s="89">
        <f t="shared" si="132"/>
        <v>1</v>
      </c>
      <c r="L694" s="75">
        <v>3.832</v>
      </c>
      <c r="M694" s="89">
        <f t="shared" si="133"/>
        <v>5.219206680584551</v>
      </c>
    </row>
    <row r="695" spans="1:13" ht="12.75" customHeight="1">
      <c r="A695" s="108" t="s">
        <v>156</v>
      </c>
      <c r="B695" s="86" t="s">
        <v>552</v>
      </c>
      <c r="C695" s="85" t="s">
        <v>158</v>
      </c>
      <c r="D695" s="85" t="s">
        <v>233</v>
      </c>
      <c r="E695" s="85" t="s">
        <v>553</v>
      </c>
      <c r="F695" s="87" t="s">
        <v>234</v>
      </c>
      <c r="G695" s="230">
        <v>110</v>
      </c>
      <c r="H695" s="111">
        <v>60</v>
      </c>
      <c r="I695" s="88">
        <f t="shared" si="131"/>
        <v>1.8333333333333333</v>
      </c>
      <c r="J695" s="75">
        <v>60</v>
      </c>
      <c r="K695" s="89">
        <f t="shared" si="132"/>
        <v>1.8333333333333333</v>
      </c>
      <c r="L695" s="75">
        <f>35.527+2.691</f>
        <v>38.218</v>
      </c>
      <c r="M695" s="89">
        <f t="shared" si="133"/>
        <v>2.8782249201946724</v>
      </c>
    </row>
    <row r="696" spans="1:13" ht="12.75" customHeight="1">
      <c r="A696" s="108" t="s">
        <v>156</v>
      </c>
      <c r="B696" s="86" t="s">
        <v>552</v>
      </c>
      <c r="C696" s="85" t="s">
        <v>158</v>
      </c>
      <c r="D696" s="85" t="s">
        <v>187</v>
      </c>
      <c r="E696" s="85" t="s">
        <v>553</v>
      </c>
      <c r="F696" s="87" t="s">
        <v>288</v>
      </c>
      <c r="G696" s="230">
        <v>5</v>
      </c>
      <c r="H696" s="111">
        <v>3</v>
      </c>
      <c r="I696" s="88">
        <f t="shared" si="131"/>
        <v>1.6666666666666667</v>
      </c>
      <c r="J696" s="75">
        <v>3</v>
      </c>
      <c r="K696" s="89">
        <f t="shared" si="132"/>
        <v>1.6666666666666667</v>
      </c>
      <c r="L696" s="75">
        <v>1.302</v>
      </c>
      <c r="M696" s="89">
        <f t="shared" si="133"/>
        <v>3.8402457757296466</v>
      </c>
    </row>
    <row r="697" spans="1:13" ht="12.75" customHeight="1">
      <c r="A697" s="108" t="s">
        <v>156</v>
      </c>
      <c r="B697" s="86" t="s">
        <v>552</v>
      </c>
      <c r="C697" s="85" t="s">
        <v>158</v>
      </c>
      <c r="D697" s="85" t="s">
        <v>236</v>
      </c>
      <c r="E697" s="85" t="s">
        <v>553</v>
      </c>
      <c r="F697" s="87" t="s">
        <v>237</v>
      </c>
      <c r="G697" s="230">
        <v>30</v>
      </c>
      <c r="H697" s="111">
        <v>44</v>
      </c>
      <c r="I697" s="88">
        <f t="shared" si="131"/>
        <v>0.6818181818181818</v>
      </c>
      <c r="J697" s="75">
        <v>23.32</v>
      </c>
      <c r="K697" s="89">
        <f t="shared" si="132"/>
        <v>1.2864493996569468</v>
      </c>
      <c r="L697" s="75">
        <v>18.44</v>
      </c>
      <c r="M697" s="89">
        <f t="shared" si="133"/>
        <v>1.6268980477223427</v>
      </c>
    </row>
    <row r="698" spans="1:13" ht="12.75" customHeight="1">
      <c r="A698" s="108" t="s">
        <v>156</v>
      </c>
      <c r="B698" s="86" t="s">
        <v>552</v>
      </c>
      <c r="C698" s="85" t="s">
        <v>158</v>
      </c>
      <c r="D698" s="85" t="s">
        <v>191</v>
      </c>
      <c r="E698" s="85" t="s">
        <v>553</v>
      </c>
      <c r="F698" s="87" t="s">
        <v>421</v>
      </c>
      <c r="G698" s="230">
        <v>20</v>
      </c>
      <c r="H698" s="111">
        <v>20</v>
      </c>
      <c r="I698" s="88">
        <f t="shared" si="131"/>
        <v>1</v>
      </c>
      <c r="J698" s="75">
        <v>20</v>
      </c>
      <c r="K698" s="89">
        <f t="shared" si="132"/>
        <v>1</v>
      </c>
      <c r="L698" s="75">
        <v>19.732</v>
      </c>
      <c r="M698" s="89">
        <f t="shared" si="133"/>
        <v>1.0135819987837016</v>
      </c>
    </row>
    <row r="699" spans="1:13" ht="12.75" customHeight="1">
      <c r="A699" s="108" t="s">
        <v>156</v>
      </c>
      <c r="B699" s="86" t="s">
        <v>552</v>
      </c>
      <c r="C699" s="85" t="s">
        <v>158</v>
      </c>
      <c r="D699" s="85" t="s">
        <v>193</v>
      </c>
      <c r="E699" s="85" t="s">
        <v>553</v>
      </c>
      <c r="F699" s="87" t="s">
        <v>448</v>
      </c>
      <c r="G699" s="230">
        <v>20</v>
      </c>
      <c r="H699" s="111">
        <v>10</v>
      </c>
      <c r="I699" s="88">
        <f t="shared" si="131"/>
        <v>2</v>
      </c>
      <c r="J699" s="75">
        <v>15.92</v>
      </c>
      <c r="K699" s="89">
        <f t="shared" si="132"/>
        <v>1.256281407035176</v>
      </c>
      <c r="L699" s="75">
        <v>14.253</v>
      </c>
      <c r="M699" s="89">
        <f t="shared" si="133"/>
        <v>1.4032133585911737</v>
      </c>
    </row>
    <row r="700" spans="1:13" ht="12.75" customHeight="1">
      <c r="A700" s="108" t="s">
        <v>156</v>
      </c>
      <c r="B700" s="86" t="s">
        <v>552</v>
      </c>
      <c r="C700" s="85" t="s">
        <v>158</v>
      </c>
      <c r="D700" s="85" t="s">
        <v>449</v>
      </c>
      <c r="E700" s="85" t="s">
        <v>553</v>
      </c>
      <c r="F700" s="87" t="s">
        <v>450</v>
      </c>
      <c r="G700" s="230">
        <v>10</v>
      </c>
      <c r="H700" s="111">
        <v>13</v>
      </c>
      <c r="I700" s="88">
        <f t="shared" si="131"/>
        <v>0.7692307692307693</v>
      </c>
      <c r="J700" s="75">
        <v>2.64</v>
      </c>
      <c r="K700" s="89">
        <f t="shared" si="132"/>
        <v>3.7878787878787876</v>
      </c>
      <c r="L700" s="75">
        <v>2.636</v>
      </c>
      <c r="M700" s="89">
        <f t="shared" si="133"/>
        <v>3.793626707132018</v>
      </c>
    </row>
    <row r="701" spans="1:13" ht="12.75" customHeight="1">
      <c r="A701" s="108" t="s">
        <v>156</v>
      </c>
      <c r="B701" s="86" t="s">
        <v>552</v>
      </c>
      <c r="C701" s="85" t="s">
        <v>158</v>
      </c>
      <c r="D701" s="85" t="s">
        <v>256</v>
      </c>
      <c r="E701" s="85" t="s">
        <v>553</v>
      </c>
      <c r="F701" s="87" t="s">
        <v>423</v>
      </c>
      <c r="G701" s="230">
        <v>4</v>
      </c>
      <c r="H701" s="111">
        <v>3</v>
      </c>
      <c r="I701" s="88">
        <f t="shared" si="131"/>
        <v>1.3333333333333333</v>
      </c>
      <c r="J701" s="75">
        <v>3</v>
      </c>
      <c r="K701" s="89">
        <f t="shared" si="132"/>
        <v>1.3333333333333333</v>
      </c>
      <c r="L701" s="75">
        <v>1.593</v>
      </c>
      <c r="M701" s="89">
        <f t="shared" si="133"/>
        <v>2.5109855618330195</v>
      </c>
    </row>
    <row r="702" spans="1:13" ht="12.75" customHeight="1">
      <c r="A702" s="108" t="s">
        <v>156</v>
      </c>
      <c r="B702" s="86" t="s">
        <v>552</v>
      </c>
      <c r="C702" s="85" t="s">
        <v>158</v>
      </c>
      <c r="D702" s="85" t="s">
        <v>505</v>
      </c>
      <c r="E702" s="85" t="s">
        <v>553</v>
      </c>
      <c r="F702" s="87" t="s">
        <v>560</v>
      </c>
      <c r="G702" s="230">
        <v>3</v>
      </c>
      <c r="H702" s="111">
        <v>0</v>
      </c>
      <c r="I702" s="88">
        <f t="shared" si="131"/>
        <v>0</v>
      </c>
      <c r="J702" s="75">
        <v>0</v>
      </c>
      <c r="K702" s="89">
        <f t="shared" si="132"/>
        <v>0</v>
      </c>
      <c r="L702" s="75">
        <v>0</v>
      </c>
      <c r="M702" s="89">
        <f t="shared" si="133"/>
        <v>0</v>
      </c>
    </row>
    <row r="703" spans="1:13" ht="12.75" customHeight="1" thickBot="1">
      <c r="A703" s="108" t="s">
        <v>156</v>
      </c>
      <c r="B703" s="86" t="s">
        <v>552</v>
      </c>
      <c r="C703" s="85" t="s">
        <v>158</v>
      </c>
      <c r="D703" s="85" t="s">
        <v>635</v>
      </c>
      <c r="E703" s="85" t="s">
        <v>636</v>
      </c>
      <c r="F703" s="87" t="s">
        <v>637</v>
      </c>
      <c r="G703" s="230">
        <v>0</v>
      </c>
      <c r="H703" s="111">
        <v>100</v>
      </c>
      <c r="I703" s="88">
        <f t="shared" si="131"/>
        <v>0</v>
      </c>
      <c r="J703" s="75">
        <v>215.88</v>
      </c>
      <c r="K703" s="89">
        <f t="shared" si="132"/>
        <v>0</v>
      </c>
      <c r="L703" s="75">
        <v>215.88</v>
      </c>
      <c r="M703" s="89">
        <f t="shared" si="133"/>
        <v>0</v>
      </c>
    </row>
    <row r="704" spans="1:15" ht="12.75" customHeight="1">
      <c r="A704" s="109"/>
      <c r="B704" s="91" t="s">
        <v>11</v>
      </c>
      <c r="C704" s="90" t="s">
        <v>158</v>
      </c>
      <c r="D704" s="90"/>
      <c r="E704" s="90"/>
      <c r="F704" s="92"/>
      <c r="G704" s="231">
        <f aca="true" t="shared" si="134" ref="G704:L704">SUM(G685:G703)</f>
        <v>2162</v>
      </c>
      <c r="H704" s="93">
        <f t="shared" si="134"/>
        <v>2188</v>
      </c>
      <c r="I704" s="94">
        <f t="shared" si="131"/>
        <v>0.9881170018281535</v>
      </c>
      <c r="J704" s="93">
        <f t="shared" si="134"/>
        <v>2292.16</v>
      </c>
      <c r="K704" s="94">
        <f t="shared" si="132"/>
        <v>0.9432151333240263</v>
      </c>
      <c r="L704" s="93">
        <f t="shared" si="134"/>
        <v>1511.83</v>
      </c>
      <c r="M704" s="94">
        <f t="shared" si="133"/>
        <v>1.430054966497556</v>
      </c>
      <c r="O704" s="80"/>
    </row>
    <row r="705" spans="9:13" ht="12.75" customHeight="1">
      <c r="I705" s="88"/>
      <c r="K705" s="89"/>
      <c r="M705" s="89"/>
    </row>
    <row r="706" spans="1:13" ht="12.75" customHeight="1">
      <c r="A706" s="108" t="s">
        <v>156</v>
      </c>
      <c r="B706" s="86" t="s">
        <v>561</v>
      </c>
      <c r="C706" s="85" t="s">
        <v>161</v>
      </c>
      <c r="D706" s="85" t="s">
        <v>217</v>
      </c>
      <c r="E706" s="85" t="s">
        <v>562</v>
      </c>
      <c r="F706" s="87" t="s">
        <v>338</v>
      </c>
      <c r="G706" s="230">
        <v>34</v>
      </c>
      <c r="H706" s="111">
        <v>34</v>
      </c>
      <c r="I706" s="88">
        <f aca="true" t="shared" si="135" ref="I706:I719">IF(H706=0,0,$G706/H706)</f>
        <v>1</v>
      </c>
      <c r="J706" s="75">
        <v>34</v>
      </c>
      <c r="K706" s="89">
        <f aca="true" t="shared" si="136" ref="K706:K719">IF(J706=0,0,$G706/J706)</f>
        <v>1</v>
      </c>
      <c r="L706" s="75">
        <v>26.96</v>
      </c>
      <c r="M706" s="89">
        <f aca="true" t="shared" si="137" ref="M706:M719">IF(L706=0,0,$G706/L706)</f>
        <v>1.261127596439169</v>
      </c>
    </row>
    <row r="707" spans="1:13" ht="12.75" customHeight="1">
      <c r="A707" s="108" t="s">
        <v>156</v>
      </c>
      <c r="B707" s="86" t="s">
        <v>561</v>
      </c>
      <c r="C707" s="85" t="s">
        <v>161</v>
      </c>
      <c r="D707" s="85" t="s">
        <v>220</v>
      </c>
      <c r="E707" s="85" t="s">
        <v>562</v>
      </c>
      <c r="F707" s="87" t="s">
        <v>563</v>
      </c>
      <c r="G707" s="230">
        <v>9</v>
      </c>
      <c r="H707" s="111">
        <v>9</v>
      </c>
      <c r="I707" s="88">
        <f t="shared" si="135"/>
        <v>1</v>
      </c>
      <c r="J707" s="75">
        <v>9</v>
      </c>
      <c r="K707" s="89">
        <f t="shared" si="136"/>
        <v>1</v>
      </c>
      <c r="L707" s="75">
        <v>5.2</v>
      </c>
      <c r="M707" s="89">
        <f t="shared" si="137"/>
        <v>1.7307692307692306</v>
      </c>
    </row>
    <row r="708" spans="1:13" ht="12.75" customHeight="1">
      <c r="A708" s="108" t="s">
        <v>156</v>
      </c>
      <c r="B708" s="86" t="s">
        <v>561</v>
      </c>
      <c r="C708" s="85" t="s">
        <v>161</v>
      </c>
      <c r="D708" s="85" t="s">
        <v>222</v>
      </c>
      <c r="E708" s="85" t="s">
        <v>562</v>
      </c>
      <c r="F708" s="87" t="s">
        <v>555</v>
      </c>
      <c r="G708" s="230">
        <v>3</v>
      </c>
      <c r="H708" s="111">
        <v>3</v>
      </c>
      <c r="I708" s="88">
        <f t="shared" si="135"/>
        <v>1</v>
      </c>
      <c r="J708" s="75">
        <v>3</v>
      </c>
      <c r="K708" s="89">
        <f t="shared" si="136"/>
        <v>1</v>
      </c>
      <c r="L708" s="75">
        <v>2.34</v>
      </c>
      <c r="M708" s="89">
        <f t="shared" si="137"/>
        <v>1.2820512820512822</v>
      </c>
    </row>
    <row r="709" spans="1:13" ht="12.75" customHeight="1">
      <c r="A709" s="108" t="s">
        <v>156</v>
      </c>
      <c r="B709" s="86" t="s">
        <v>561</v>
      </c>
      <c r="C709" s="85" t="s">
        <v>161</v>
      </c>
      <c r="D709" s="85" t="s">
        <v>227</v>
      </c>
      <c r="E709" s="85" t="s">
        <v>562</v>
      </c>
      <c r="F709" s="87" t="s">
        <v>527</v>
      </c>
      <c r="G709" s="230">
        <v>20</v>
      </c>
      <c r="H709" s="111">
        <v>12</v>
      </c>
      <c r="I709" s="88">
        <f t="shared" si="135"/>
        <v>1.6666666666666667</v>
      </c>
      <c r="J709" s="75">
        <v>12</v>
      </c>
      <c r="K709" s="89">
        <f t="shared" si="136"/>
        <v>1.6666666666666667</v>
      </c>
      <c r="L709" s="75">
        <v>2.888</v>
      </c>
      <c r="M709" s="89">
        <f t="shared" si="137"/>
        <v>6.9252077562326875</v>
      </c>
    </row>
    <row r="710" spans="1:13" ht="12.75" customHeight="1">
      <c r="A710" s="108" t="s">
        <v>156</v>
      </c>
      <c r="B710" s="86" t="s">
        <v>561</v>
      </c>
      <c r="C710" s="85" t="s">
        <v>161</v>
      </c>
      <c r="D710" s="85" t="s">
        <v>176</v>
      </c>
      <c r="E710" s="85" t="s">
        <v>562</v>
      </c>
      <c r="F710" s="87" t="s">
        <v>557</v>
      </c>
      <c r="G710" s="230">
        <v>20</v>
      </c>
      <c r="H710" s="111">
        <v>15</v>
      </c>
      <c r="I710" s="88">
        <f t="shared" si="135"/>
        <v>1.3333333333333333</v>
      </c>
      <c r="J710" s="75">
        <v>15</v>
      </c>
      <c r="K710" s="89">
        <f t="shared" si="136"/>
        <v>1.3333333333333333</v>
      </c>
      <c r="L710" s="75">
        <v>14.129</v>
      </c>
      <c r="M710" s="89">
        <f t="shared" si="137"/>
        <v>1.4155283459551278</v>
      </c>
    </row>
    <row r="711" spans="1:13" ht="12.75" customHeight="1">
      <c r="A711" s="108" t="s">
        <v>156</v>
      </c>
      <c r="B711" s="86" t="s">
        <v>561</v>
      </c>
      <c r="C711" s="85" t="s">
        <v>161</v>
      </c>
      <c r="D711" s="85" t="s">
        <v>179</v>
      </c>
      <c r="E711" s="85" t="s">
        <v>562</v>
      </c>
      <c r="F711" s="87" t="s">
        <v>558</v>
      </c>
      <c r="G711" s="230">
        <v>95</v>
      </c>
      <c r="H711" s="111">
        <v>80</v>
      </c>
      <c r="I711" s="88">
        <f t="shared" si="135"/>
        <v>1.1875</v>
      </c>
      <c r="J711" s="75">
        <v>93.24</v>
      </c>
      <c r="K711" s="89">
        <f t="shared" si="136"/>
        <v>1.0188760188760189</v>
      </c>
      <c r="L711" s="75">
        <v>93.235</v>
      </c>
      <c r="M711" s="89">
        <f t="shared" si="137"/>
        <v>1.0189306590872527</v>
      </c>
    </row>
    <row r="712" spans="1:13" ht="12.75" customHeight="1">
      <c r="A712" s="108" t="s">
        <v>156</v>
      </c>
      <c r="B712" s="86" t="s">
        <v>561</v>
      </c>
      <c r="C712" s="85" t="s">
        <v>161</v>
      </c>
      <c r="D712" s="85" t="s">
        <v>181</v>
      </c>
      <c r="E712" s="85" t="s">
        <v>562</v>
      </c>
      <c r="F712" s="87" t="s">
        <v>230</v>
      </c>
      <c r="G712" s="230">
        <v>300</v>
      </c>
      <c r="H712" s="111">
        <v>300</v>
      </c>
      <c r="I712" s="88">
        <f t="shared" si="135"/>
        <v>1</v>
      </c>
      <c r="J712" s="75">
        <v>312.5</v>
      </c>
      <c r="K712" s="89">
        <f t="shared" si="136"/>
        <v>0.96</v>
      </c>
      <c r="L712" s="75">
        <v>312.501</v>
      </c>
      <c r="M712" s="89">
        <f t="shared" si="137"/>
        <v>0.9599969280098304</v>
      </c>
    </row>
    <row r="713" spans="1:13" ht="12.75" customHeight="1">
      <c r="A713" s="108" t="s">
        <v>156</v>
      </c>
      <c r="B713" s="86" t="s">
        <v>561</v>
      </c>
      <c r="C713" s="85" t="s">
        <v>161</v>
      </c>
      <c r="D713" s="85" t="s">
        <v>183</v>
      </c>
      <c r="E713" s="85" t="s">
        <v>562</v>
      </c>
      <c r="F713" s="87" t="s">
        <v>559</v>
      </c>
      <c r="G713" s="230">
        <v>250</v>
      </c>
      <c r="H713" s="111">
        <v>250</v>
      </c>
      <c r="I713" s="88">
        <f t="shared" si="135"/>
        <v>1</v>
      </c>
      <c r="J713" s="75">
        <v>237.5</v>
      </c>
      <c r="K713" s="89">
        <f t="shared" si="136"/>
        <v>1.0526315789473684</v>
      </c>
      <c r="L713" s="75">
        <v>140.709</v>
      </c>
      <c r="M713" s="89">
        <f t="shared" si="137"/>
        <v>1.7767164857969284</v>
      </c>
    </row>
    <row r="714" spans="1:13" ht="12.75" customHeight="1">
      <c r="A714" s="108" t="s">
        <v>156</v>
      </c>
      <c r="B714" s="86" t="s">
        <v>561</v>
      </c>
      <c r="C714" s="85" t="s">
        <v>161</v>
      </c>
      <c r="D714" s="85" t="s">
        <v>187</v>
      </c>
      <c r="E714" s="85" t="s">
        <v>562</v>
      </c>
      <c r="F714" s="87" t="s">
        <v>288</v>
      </c>
      <c r="G714" s="230">
        <v>60</v>
      </c>
      <c r="H714" s="111">
        <v>80</v>
      </c>
      <c r="I714" s="88">
        <f t="shared" si="135"/>
        <v>0.75</v>
      </c>
      <c r="J714" s="75">
        <v>66.77</v>
      </c>
      <c r="K714" s="89">
        <f t="shared" si="136"/>
        <v>0.8986071589036994</v>
      </c>
      <c r="L714" s="75">
        <v>36.323</v>
      </c>
      <c r="M714" s="89">
        <f t="shared" si="137"/>
        <v>1.6518459378355312</v>
      </c>
    </row>
    <row r="715" spans="1:13" ht="12.75" customHeight="1">
      <c r="A715" s="108" t="s">
        <v>156</v>
      </c>
      <c r="B715" s="86" t="s">
        <v>561</v>
      </c>
      <c r="C715" s="85" t="s">
        <v>161</v>
      </c>
      <c r="D715" s="85" t="s">
        <v>189</v>
      </c>
      <c r="E715" s="85" t="s">
        <v>562</v>
      </c>
      <c r="F715" s="87" t="s">
        <v>564</v>
      </c>
      <c r="G715" s="230">
        <v>22</v>
      </c>
      <c r="H715" s="111">
        <v>20</v>
      </c>
      <c r="I715" s="88">
        <f t="shared" si="135"/>
        <v>1.1</v>
      </c>
      <c r="J715" s="75">
        <v>20</v>
      </c>
      <c r="K715" s="89">
        <f t="shared" si="136"/>
        <v>1.1</v>
      </c>
      <c r="L715" s="75">
        <v>10.335</v>
      </c>
      <c r="M715" s="89">
        <f t="shared" si="137"/>
        <v>2.1286889211417512</v>
      </c>
    </row>
    <row r="716" spans="1:13" ht="12.75" customHeight="1">
      <c r="A716" s="108" t="s">
        <v>156</v>
      </c>
      <c r="B716" s="86" t="s">
        <v>561</v>
      </c>
      <c r="C716" s="85" t="s">
        <v>161</v>
      </c>
      <c r="D716" s="85" t="s">
        <v>191</v>
      </c>
      <c r="E716" s="85" t="s">
        <v>562</v>
      </c>
      <c r="F716" s="87" t="s">
        <v>421</v>
      </c>
      <c r="G716" s="230">
        <v>100</v>
      </c>
      <c r="H716" s="111">
        <v>100</v>
      </c>
      <c r="I716" s="88">
        <f t="shared" si="135"/>
        <v>1</v>
      </c>
      <c r="J716" s="75">
        <v>100</v>
      </c>
      <c r="K716" s="89">
        <f t="shared" si="136"/>
        <v>1</v>
      </c>
      <c r="L716" s="75">
        <v>85.267</v>
      </c>
      <c r="M716" s="89">
        <f t="shared" si="137"/>
        <v>1.1727866583789743</v>
      </c>
    </row>
    <row r="717" spans="1:13" ht="12.75" customHeight="1">
      <c r="A717" s="108" t="s">
        <v>156</v>
      </c>
      <c r="B717" s="86" t="s">
        <v>561</v>
      </c>
      <c r="C717" s="85" t="s">
        <v>161</v>
      </c>
      <c r="D717" s="85" t="s">
        <v>193</v>
      </c>
      <c r="E717" s="85" t="s">
        <v>562</v>
      </c>
      <c r="F717" s="87" t="s">
        <v>448</v>
      </c>
      <c r="G717" s="230">
        <v>100</v>
      </c>
      <c r="H717" s="111">
        <v>155</v>
      </c>
      <c r="I717" s="88">
        <f t="shared" si="135"/>
        <v>0.6451612903225806</v>
      </c>
      <c r="J717" s="75">
        <v>119.53</v>
      </c>
      <c r="K717" s="89">
        <f t="shared" si="136"/>
        <v>0.8366100560528738</v>
      </c>
      <c r="L717" s="75">
        <v>99.205</v>
      </c>
      <c r="M717" s="89">
        <f t="shared" si="137"/>
        <v>1.0080137089864423</v>
      </c>
    </row>
    <row r="718" spans="1:13" ht="12.75" customHeight="1" thickBot="1">
      <c r="A718" s="108" t="s">
        <v>156</v>
      </c>
      <c r="B718" s="86" t="s">
        <v>565</v>
      </c>
      <c r="C718" s="85" t="s">
        <v>161</v>
      </c>
      <c r="D718" s="85" t="s">
        <v>203</v>
      </c>
      <c r="E718" s="85" t="s">
        <v>566</v>
      </c>
      <c r="F718" s="87" t="s">
        <v>567</v>
      </c>
      <c r="G718" s="230">
        <v>40</v>
      </c>
      <c r="H718" s="111">
        <v>68</v>
      </c>
      <c r="I718" s="88">
        <f t="shared" si="135"/>
        <v>0.5882352941176471</v>
      </c>
      <c r="J718" s="75">
        <v>286.47</v>
      </c>
      <c r="K718" s="89">
        <f t="shared" si="136"/>
        <v>0.13963067685970607</v>
      </c>
      <c r="L718" s="75">
        <v>118.467</v>
      </c>
      <c r="M718" s="89">
        <f t="shared" si="137"/>
        <v>0.3376467708306955</v>
      </c>
    </row>
    <row r="719" spans="1:15" ht="12.75" customHeight="1">
      <c r="A719" s="109"/>
      <c r="B719" s="91" t="s">
        <v>11</v>
      </c>
      <c r="C719" s="90" t="s">
        <v>161</v>
      </c>
      <c r="D719" s="90"/>
      <c r="E719" s="90"/>
      <c r="F719" s="92"/>
      <c r="G719" s="231">
        <f aca="true" t="shared" si="138" ref="G719:L719">SUM(G706:G718)</f>
        <v>1053</v>
      </c>
      <c r="H719" s="93">
        <f t="shared" si="138"/>
        <v>1126</v>
      </c>
      <c r="I719" s="94">
        <f t="shared" si="135"/>
        <v>0.9351687388987566</v>
      </c>
      <c r="J719" s="93">
        <f t="shared" si="138"/>
        <v>1309.01</v>
      </c>
      <c r="K719" s="94">
        <f t="shared" si="136"/>
        <v>0.8044247179165934</v>
      </c>
      <c r="L719" s="93">
        <f t="shared" si="138"/>
        <v>947.559</v>
      </c>
      <c r="M719" s="94">
        <f t="shared" si="137"/>
        <v>1.1112764482211661</v>
      </c>
      <c r="O719" s="80"/>
    </row>
    <row r="720" spans="9:13" ht="12.75" customHeight="1">
      <c r="I720" s="88"/>
      <c r="K720" s="89"/>
      <c r="M720" s="89"/>
    </row>
    <row r="721" spans="1:13" ht="12.75" customHeight="1">
      <c r="A721" s="108" t="s">
        <v>156</v>
      </c>
      <c r="B721" s="86" t="s">
        <v>568</v>
      </c>
      <c r="C721" s="85" t="s">
        <v>569</v>
      </c>
      <c r="D721" s="85" t="s">
        <v>191</v>
      </c>
      <c r="E721" s="85" t="s">
        <v>570</v>
      </c>
      <c r="F721" s="87" t="s">
        <v>571</v>
      </c>
      <c r="G721" s="230">
        <v>45</v>
      </c>
      <c r="H721" s="111">
        <v>45</v>
      </c>
      <c r="I721" s="88">
        <f aca="true" t="shared" si="139" ref="I721:I726">IF(H721=0,0,$G721/H721)</f>
        <v>1</v>
      </c>
      <c r="J721" s="75">
        <v>45</v>
      </c>
      <c r="K721" s="89">
        <f aca="true" t="shared" si="140" ref="K721:K726">IF(J721=0,0,$G721/J721)</f>
        <v>1</v>
      </c>
      <c r="L721" s="75">
        <v>26.08</v>
      </c>
      <c r="M721" s="89">
        <f aca="true" t="shared" si="141" ref="M721:M726">IF(L721=0,0,$G721/L721)</f>
        <v>1.7254601226993866</v>
      </c>
    </row>
    <row r="722" spans="1:13" ht="12.75" customHeight="1">
      <c r="A722" s="108" t="s">
        <v>156</v>
      </c>
      <c r="B722" s="86" t="s">
        <v>568</v>
      </c>
      <c r="C722" s="85" t="s">
        <v>569</v>
      </c>
      <c r="D722" s="85" t="s">
        <v>195</v>
      </c>
      <c r="E722" s="85" t="s">
        <v>570</v>
      </c>
      <c r="F722" s="87" t="s">
        <v>572</v>
      </c>
      <c r="G722" s="230">
        <v>15</v>
      </c>
      <c r="H722" s="111">
        <v>15</v>
      </c>
      <c r="I722" s="88">
        <f t="shared" si="139"/>
        <v>1</v>
      </c>
      <c r="J722" s="75">
        <v>15</v>
      </c>
      <c r="K722" s="89">
        <f t="shared" si="140"/>
        <v>1</v>
      </c>
      <c r="L722" s="75">
        <v>4.481</v>
      </c>
      <c r="M722" s="89">
        <f t="shared" si="141"/>
        <v>3.3474670832403484</v>
      </c>
    </row>
    <row r="723" spans="1:13" ht="12.75" customHeight="1">
      <c r="A723" s="108" t="s">
        <v>156</v>
      </c>
      <c r="B723" s="86" t="s">
        <v>568</v>
      </c>
      <c r="C723" s="85" t="s">
        <v>569</v>
      </c>
      <c r="D723" s="85" t="s">
        <v>261</v>
      </c>
      <c r="E723" s="85" t="s">
        <v>570</v>
      </c>
      <c r="F723" s="87" t="s">
        <v>573</v>
      </c>
      <c r="G723" s="230">
        <v>15</v>
      </c>
      <c r="H723" s="111">
        <v>15</v>
      </c>
      <c r="I723" s="88">
        <f t="shared" si="139"/>
        <v>1</v>
      </c>
      <c r="J723" s="75">
        <v>15</v>
      </c>
      <c r="K723" s="89">
        <f t="shared" si="140"/>
        <v>1</v>
      </c>
      <c r="L723" s="75">
        <v>7.214</v>
      </c>
      <c r="M723" s="89">
        <f t="shared" si="141"/>
        <v>2.0792902689215413</v>
      </c>
    </row>
    <row r="724" spans="1:13" ht="12.75" customHeight="1">
      <c r="A724" s="108" t="s">
        <v>156</v>
      </c>
      <c r="B724" s="86" t="s">
        <v>568</v>
      </c>
      <c r="C724" s="85" t="s">
        <v>569</v>
      </c>
      <c r="D724" s="85" t="s">
        <v>263</v>
      </c>
      <c r="E724" s="85" t="s">
        <v>570</v>
      </c>
      <c r="F724" s="87" t="s">
        <v>574</v>
      </c>
      <c r="G724" s="230">
        <v>15</v>
      </c>
      <c r="H724" s="111">
        <v>20</v>
      </c>
      <c r="I724" s="88">
        <f t="shared" si="139"/>
        <v>0.75</v>
      </c>
      <c r="J724" s="75">
        <v>15</v>
      </c>
      <c r="K724" s="89">
        <f t="shared" si="140"/>
        <v>1</v>
      </c>
      <c r="L724" s="75">
        <v>5</v>
      </c>
      <c r="M724" s="89">
        <f t="shared" si="141"/>
        <v>3</v>
      </c>
    </row>
    <row r="725" spans="1:13" ht="12.75" customHeight="1" thickBot="1">
      <c r="A725" s="108" t="s">
        <v>156</v>
      </c>
      <c r="B725" s="86" t="s">
        <v>568</v>
      </c>
      <c r="C725" s="85" t="s">
        <v>569</v>
      </c>
      <c r="D725" s="85" t="s">
        <v>575</v>
      </c>
      <c r="E725" s="85" t="s">
        <v>570</v>
      </c>
      <c r="F725" s="87" t="s">
        <v>576</v>
      </c>
      <c r="G725" s="230">
        <v>5</v>
      </c>
      <c r="H725" s="111">
        <v>0</v>
      </c>
      <c r="I725" s="88">
        <f t="shared" si="139"/>
        <v>0</v>
      </c>
      <c r="J725" s="75">
        <v>5</v>
      </c>
      <c r="K725" s="89">
        <f t="shared" si="140"/>
        <v>1</v>
      </c>
      <c r="L725" s="75">
        <v>5</v>
      </c>
      <c r="M725" s="89">
        <f t="shared" si="141"/>
        <v>1</v>
      </c>
    </row>
    <row r="726" spans="1:15" ht="12.75" customHeight="1">
      <c r="A726" s="109"/>
      <c r="B726" s="91" t="s">
        <v>11</v>
      </c>
      <c r="C726" s="90" t="s">
        <v>569</v>
      </c>
      <c r="D726" s="90"/>
      <c r="E726" s="90"/>
      <c r="F726" s="92"/>
      <c r="G726" s="231">
        <f>SUM(G721:G725)</f>
        <v>95</v>
      </c>
      <c r="H726" s="93">
        <f>SUM(H721:H725)</f>
        <v>95</v>
      </c>
      <c r="I726" s="94">
        <f t="shared" si="139"/>
        <v>1</v>
      </c>
      <c r="J726" s="93">
        <f>SUM(J721:J725)</f>
        <v>95</v>
      </c>
      <c r="K726" s="94">
        <f t="shared" si="140"/>
        <v>1</v>
      </c>
      <c r="L726" s="93">
        <f>SUM(L721:L725)</f>
        <v>47.775</v>
      </c>
      <c r="M726" s="94">
        <f t="shared" si="141"/>
        <v>1.9884877027734171</v>
      </c>
      <c r="O726" s="80"/>
    </row>
    <row r="727" spans="9:13" ht="12.75" customHeight="1">
      <c r="I727" s="88"/>
      <c r="K727" s="89"/>
      <c r="M727" s="89"/>
    </row>
    <row r="728" spans="1:15" ht="12.75" customHeight="1">
      <c r="A728" s="107"/>
      <c r="B728" s="95" t="s">
        <v>164</v>
      </c>
      <c r="C728" s="81"/>
      <c r="D728" s="81"/>
      <c r="E728" s="81"/>
      <c r="F728" s="96"/>
      <c r="G728" s="232">
        <f>SUM(G704,G719,G726)</f>
        <v>3310</v>
      </c>
      <c r="H728" s="103">
        <f>SUM(H704,H719,H726)</f>
        <v>3409</v>
      </c>
      <c r="I728" s="98">
        <f>IF(H728=0,0,$G728/H728)</f>
        <v>0.9709592255793488</v>
      </c>
      <c r="J728" s="97">
        <f>SUM(J704,J719,J726)</f>
        <v>3696.17</v>
      </c>
      <c r="K728" s="99">
        <f>IF(J728=0,0,$G728/J728)</f>
        <v>0.8955215804467868</v>
      </c>
      <c r="L728" s="97">
        <f>SUM(L704,L719,L726)</f>
        <v>2507.164</v>
      </c>
      <c r="M728" s="99">
        <f>IF(L728=0,0,$G728/L728)</f>
        <v>1.3202167867758152</v>
      </c>
      <c r="O728" s="80"/>
    </row>
    <row r="729" spans="9:13" ht="12.75" customHeight="1">
      <c r="I729" s="88"/>
      <c r="K729" s="89"/>
      <c r="M729" s="89"/>
    </row>
    <row r="730" spans="9:13" ht="12.75" customHeight="1">
      <c r="I730" s="88"/>
      <c r="K730" s="89"/>
      <c r="M730" s="89"/>
    </row>
    <row r="731" spans="1:13" ht="12.75" customHeight="1">
      <c r="A731" s="108" t="s">
        <v>165</v>
      </c>
      <c r="B731" s="86" t="s">
        <v>577</v>
      </c>
      <c r="C731" s="85" t="s">
        <v>578</v>
      </c>
      <c r="D731" s="85" t="s">
        <v>193</v>
      </c>
      <c r="E731" s="85" t="s">
        <v>579</v>
      </c>
      <c r="F731" s="87" t="s">
        <v>580</v>
      </c>
      <c r="G731" s="230">
        <v>20</v>
      </c>
      <c r="H731" s="111">
        <v>0</v>
      </c>
      <c r="I731" s="88">
        <f>IF(H731=0,0,$G731/H731)</f>
        <v>0</v>
      </c>
      <c r="J731" s="75">
        <v>1.44</v>
      </c>
      <c r="K731" s="89">
        <f>IF(J731=0,0,$G731/J731)</f>
        <v>13.88888888888889</v>
      </c>
      <c r="L731" s="75">
        <v>1.436</v>
      </c>
      <c r="M731" s="89">
        <f>IF(L731=0,0,$G731/L731)</f>
        <v>13.92757660167131</v>
      </c>
    </row>
    <row r="732" spans="1:13" ht="12.75" customHeight="1">
      <c r="A732" s="108" t="s">
        <v>165</v>
      </c>
      <c r="B732" s="86" t="s">
        <v>577</v>
      </c>
      <c r="C732" s="85" t="s">
        <v>578</v>
      </c>
      <c r="D732" s="85" t="s">
        <v>581</v>
      </c>
      <c r="E732" s="85" t="s">
        <v>579</v>
      </c>
      <c r="F732" s="87" t="s">
        <v>582</v>
      </c>
      <c r="G732" s="230">
        <v>662</v>
      </c>
      <c r="H732" s="111">
        <v>908</v>
      </c>
      <c r="I732" s="88">
        <f>IF(H732=0,0,$G732/H732)</f>
        <v>0.7290748898678414</v>
      </c>
      <c r="J732" s="75">
        <v>472.37</v>
      </c>
      <c r="K732" s="89">
        <f>IF(J732=0,0,$G732/J732)</f>
        <v>1.4014437834748183</v>
      </c>
      <c r="L732" s="75">
        <v>107.035</v>
      </c>
      <c r="M732" s="89">
        <f>IF(L732=0,0,$G732/L732)</f>
        <v>6.184892792077358</v>
      </c>
    </row>
    <row r="733" spans="1:13" ht="12.75" customHeight="1" thickBot="1">
      <c r="A733" s="108" t="s">
        <v>165</v>
      </c>
      <c r="B733" s="86" t="s">
        <v>577</v>
      </c>
      <c r="C733" s="85" t="s">
        <v>578</v>
      </c>
      <c r="D733" s="85" t="s">
        <v>203</v>
      </c>
      <c r="E733" s="85" t="s">
        <v>602</v>
      </c>
      <c r="F733" s="87" t="s">
        <v>603</v>
      </c>
      <c r="G733" s="230">
        <v>0</v>
      </c>
      <c r="H733" s="111">
        <v>738</v>
      </c>
      <c r="I733" s="88">
        <f>IF(H733=0,0,$G733/H733)</f>
        <v>0</v>
      </c>
      <c r="J733" s="75">
        <v>736.56</v>
      </c>
      <c r="K733" s="89">
        <f>IF(J733=0,0,$G733/J733)</f>
        <v>0</v>
      </c>
      <c r="L733" s="75">
        <v>702.33</v>
      </c>
      <c r="M733" s="89">
        <f>IF(L733=0,0,$G733/L733)</f>
        <v>0</v>
      </c>
    </row>
    <row r="734" spans="1:15" ht="12.75" customHeight="1">
      <c r="A734" s="109"/>
      <c r="B734" s="91" t="s">
        <v>11</v>
      </c>
      <c r="C734" s="90" t="s">
        <v>578</v>
      </c>
      <c r="D734" s="90"/>
      <c r="E734" s="90"/>
      <c r="F734" s="92"/>
      <c r="G734" s="231">
        <f aca="true" t="shared" si="142" ref="G734:L734">SUM(G731:G733)</f>
        <v>682</v>
      </c>
      <c r="H734" s="93">
        <f t="shared" si="142"/>
        <v>1646</v>
      </c>
      <c r="I734" s="94">
        <f>IF(H734=0,0,$G734/H734)</f>
        <v>0.41433778857837184</v>
      </c>
      <c r="J734" s="93">
        <f t="shared" si="142"/>
        <v>1210.37</v>
      </c>
      <c r="K734" s="94">
        <f>IF(J734=0,0,$G734/J734)</f>
        <v>0.5634640647074862</v>
      </c>
      <c r="L734" s="93">
        <f t="shared" si="142"/>
        <v>810.801</v>
      </c>
      <c r="M734" s="94">
        <f>IF(L734=0,0,$G734/L734)</f>
        <v>0.8411435111698184</v>
      </c>
      <c r="O734" s="80"/>
    </row>
    <row r="735" spans="9:13" ht="12.75" customHeight="1">
      <c r="I735" s="88"/>
      <c r="K735" s="89"/>
      <c r="M735" s="89"/>
    </row>
    <row r="736" spans="1:13" ht="12.75" customHeight="1">
      <c r="A736" s="108" t="s">
        <v>165</v>
      </c>
      <c r="B736" s="86" t="s">
        <v>583</v>
      </c>
      <c r="C736" s="85" t="s">
        <v>18</v>
      </c>
      <c r="D736" s="85" t="s">
        <v>266</v>
      </c>
      <c r="E736" s="85" t="s">
        <v>584</v>
      </c>
      <c r="F736" s="87" t="s">
        <v>803</v>
      </c>
      <c r="G736" s="230">
        <v>2279</v>
      </c>
      <c r="H736" s="111">
        <v>0</v>
      </c>
      <c r="I736" s="88">
        <f aca="true" t="shared" si="143" ref="I736:I753">IF(H736=0,0,$G736/H736)</f>
        <v>0</v>
      </c>
      <c r="J736" s="75">
        <v>1387.17</v>
      </c>
      <c r="K736" s="89">
        <f aca="true" t="shared" si="144" ref="K736:K753">IF(J736=0,0,$G736/J736)</f>
        <v>1.6429132694622863</v>
      </c>
      <c r="L736" s="75">
        <v>806.246</v>
      </c>
      <c r="M736" s="89">
        <f aca="true" t="shared" si="145" ref="M736:M753">IF(L736=0,0,$G736/L736)</f>
        <v>2.8266806905088524</v>
      </c>
    </row>
    <row r="737" spans="1:13" ht="12.75" customHeight="1">
      <c r="A737" s="108" t="s">
        <v>165</v>
      </c>
      <c r="B737" s="86" t="s">
        <v>583</v>
      </c>
      <c r="C737" s="85" t="s">
        <v>18</v>
      </c>
      <c r="D737" s="85" t="s">
        <v>220</v>
      </c>
      <c r="E737" s="85" t="s">
        <v>584</v>
      </c>
      <c r="F737" s="87" t="s">
        <v>286</v>
      </c>
      <c r="G737" s="230">
        <v>570</v>
      </c>
      <c r="H737" s="111">
        <v>0</v>
      </c>
      <c r="I737" s="88">
        <f t="shared" si="143"/>
        <v>0</v>
      </c>
      <c r="J737" s="75">
        <v>349.18</v>
      </c>
      <c r="K737" s="89">
        <f t="shared" si="144"/>
        <v>1.6323958989632854</v>
      </c>
      <c r="L737" s="75">
        <v>200.724</v>
      </c>
      <c r="M737" s="89">
        <f t="shared" si="145"/>
        <v>2.8397202128295573</v>
      </c>
    </row>
    <row r="738" spans="1:13" ht="12.75" customHeight="1">
      <c r="A738" s="108" t="s">
        <v>165</v>
      </c>
      <c r="B738" s="86" t="s">
        <v>583</v>
      </c>
      <c r="C738" s="85" t="s">
        <v>18</v>
      </c>
      <c r="D738" s="85" t="s">
        <v>222</v>
      </c>
      <c r="E738" s="85" t="s">
        <v>584</v>
      </c>
      <c r="F738" s="87" t="s">
        <v>287</v>
      </c>
      <c r="G738" s="230">
        <v>206</v>
      </c>
      <c r="H738" s="111">
        <v>0</v>
      </c>
      <c r="I738" s="88">
        <f t="shared" si="143"/>
        <v>0</v>
      </c>
      <c r="J738" s="75">
        <v>125.68</v>
      </c>
      <c r="K738" s="89">
        <f t="shared" si="144"/>
        <v>1.6390833863781031</v>
      </c>
      <c r="L738" s="75">
        <v>72.26</v>
      </c>
      <c r="M738" s="89">
        <f t="shared" si="145"/>
        <v>2.8508164959867144</v>
      </c>
    </row>
    <row r="739" spans="1:13" ht="12.75" customHeight="1">
      <c r="A739" s="108" t="s">
        <v>165</v>
      </c>
      <c r="B739" s="86" t="s">
        <v>583</v>
      </c>
      <c r="C739" s="85" t="s">
        <v>18</v>
      </c>
      <c r="D739" s="85" t="s">
        <v>211</v>
      </c>
      <c r="E739" s="85" t="s">
        <v>584</v>
      </c>
      <c r="F739" s="87" t="s">
        <v>224</v>
      </c>
      <c r="G739" s="230">
        <v>10</v>
      </c>
      <c r="H739" s="111">
        <v>0</v>
      </c>
      <c r="I739" s="88">
        <f t="shared" si="143"/>
        <v>0</v>
      </c>
      <c r="J739" s="75">
        <v>3.08</v>
      </c>
      <c r="K739" s="89">
        <f t="shared" si="144"/>
        <v>3.2467532467532467</v>
      </c>
      <c r="L739" s="75">
        <v>0</v>
      </c>
      <c r="M739" s="89">
        <f t="shared" si="145"/>
        <v>0</v>
      </c>
    </row>
    <row r="740" spans="1:13" ht="12.75" customHeight="1">
      <c r="A740" s="108" t="s">
        <v>165</v>
      </c>
      <c r="B740" s="86" t="s">
        <v>583</v>
      </c>
      <c r="C740" s="85" t="s">
        <v>18</v>
      </c>
      <c r="D740" s="85" t="s">
        <v>253</v>
      </c>
      <c r="E740" s="85" t="s">
        <v>584</v>
      </c>
      <c r="F740" s="87" t="s">
        <v>254</v>
      </c>
      <c r="G740" s="230">
        <v>7</v>
      </c>
      <c r="H740" s="111">
        <v>0</v>
      </c>
      <c r="I740" s="88">
        <f t="shared" si="143"/>
        <v>0</v>
      </c>
      <c r="J740" s="75">
        <v>0</v>
      </c>
      <c r="K740" s="89">
        <f t="shared" si="144"/>
        <v>0</v>
      </c>
      <c r="L740" s="75">
        <v>0</v>
      </c>
      <c r="M740" s="89">
        <f t="shared" si="145"/>
        <v>0</v>
      </c>
    </row>
    <row r="741" spans="1:13" ht="12.75" customHeight="1">
      <c r="A741" s="108" t="s">
        <v>165</v>
      </c>
      <c r="B741" s="86" t="s">
        <v>583</v>
      </c>
      <c r="C741" s="85" t="s">
        <v>18</v>
      </c>
      <c r="D741" s="85" t="s">
        <v>227</v>
      </c>
      <c r="E741" s="85" t="s">
        <v>584</v>
      </c>
      <c r="F741" s="87" t="s">
        <v>228</v>
      </c>
      <c r="G741" s="230">
        <v>10</v>
      </c>
      <c r="H741" s="111">
        <v>0</v>
      </c>
      <c r="I741" s="88">
        <f t="shared" si="143"/>
        <v>0</v>
      </c>
      <c r="J741" s="75">
        <v>19.87</v>
      </c>
      <c r="K741" s="89">
        <f t="shared" si="144"/>
        <v>0.5032712632108707</v>
      </c>
      <c r="L741" s="75">
        <v>5.6</v>
      </c>
      <c r="M741" s="89">
        <f t="shared" si="145"/>
        <v>1.7857142857142858</v>
      </c>
    </row>
    <row r="742" spans="1:13" ht="12.75" customHeight="1">
      <c r="A742" s="108" t="s">
        <v>165</v>
      </c>
      <c r="B742" s="86" t="s">
        <v>583</v>
      </c>
      <c r="C742" s="85" t="s">
        <v>18</v>
      </c>
      <c r="D742" s="85" t="s">
        <v>176</v>
      </c>
      <c r="E742" s="85" t="s">
        <v>584</v>
      </c>
      <c r="F742" s="87" t="s">
        <v>178</v>
      </c>
      <c r="G742" s="230">
        <v>15</v>
      </c>
      <c r="H742" s="111">
        <v>0</v>
      </c>
      <c r="I742" s="88">
        <f t="shared" si="143"/>
        <v>0</v>
      </c>
      <c r="J742" s="75">
        <v>9.23</v>
      </c>
      <c r="K742" s="89">
        <f t="shared" si="144"/>
        <v>1.6251354279523293</v>
      </c>
      <c r="L742" s="75">
        <v>2.757</v>
      </c>
      <c r="M742" s="89">
        <f t="shared" si="145"/>
        <v>5.44069640914037</v>
      </c>
    </row>
    <row r="743" spans="1:13" ht="12.75" customHeight="1">
      <c r="A743" s="108" t="s">
        <v>165</v>
      </c>
      <c r="B743" s="86" t="s">
        <v>583</v>
      </c>
      <c r="C743" s="85" t="s">
        <v>18</v>
      </c>
      <c r="D743" s="85" t="s">
        <v>233</v>
      </c>
      <c r="E743" s="85" t="s">
        <v>584</v>
      </c>
      <c r="F743" s="87" t="s">
        <v>234</v>
      </c>
      <c r="G743" s="230">
        <v>36</v>
      </c>
      <c r="H743" s="111">
        <v>0</v>
      </c>
      <c r="I743" s="88">
        <f t="shared" si="143"/>
        <v>0</v>
      </c>
      <c r="J743" s="75">
        <v>13.62</v>
      </c>
      <c r="K743" s="89">
        <f t="shared" si="144"/>
        <v>2.643171806167401</v>
      </c>
      <c r="L743" s="75">
        <v>8.216</v>
      </c>
      <c r="M743" s="89">
        <f t="shared" si="145"/>
        <v>4.381694255111977</v>
      </c>
    </row>
    <row r="744" spans="1:13" ht="12.75" customHeight="1">
      <c r="A744" s="108" t="s">
        <v>165</v>
      </c>
      <c r="B744" s="86" t="s">
        <v>583</v>
      </c>
      <c r="C744" s="85" t="s">
        <v>18</v>
      </c>
      <c r="D744" s="85" t="s">
        <v>187</v>
      </c>
      <c r="E744" s="85" t="s">
        <v>584</v>
      </c>
      <c r="F744" s="87" t="s">
        <v>302</v>
      </c>
      <c r="G744" s="230">
        <v>42</v>
      </c>
      <c r="H744" s="111">
        <v>0</v>
      </c>
      <c r="I744" s="88">
        <f t="shared" si="143"/>
        <v>0</v>
      </c>
      <c r="J744" s="75">
        <v>3.62</v>
      </c>
      <c r="K744" s="89">
        <f t="shared" si="144"/>
        <v>11.602209944751381</v>
      </c>
      <c r="L744" s="75">
        <v>2.019</v>
      </c>
      <c r="M744" s="89">
        <f t="shared" si="145"/>
        <v>20.80237741456166</v>
      </c>
    </row>
    <row r="745" spans="1:13" ht="12.75" customHeight="1">
      <c r="A745" s="108" t="s">
        <v>165</v>
      </c>
      <c r="B745" s="86" t="s">
        <v>583</v>
      </c>
      <c r="C745" s="85" t="s">
        <v>18</v>
      </c>
      <c r="D745" s="85" t="s">
        <v>189</v>
      </c>
      <c r="E745" s="85" t="s">
        <v>584</v>
      </c>
      <c r="F745" s="87" t="s">
        <v>318</v>
      </c>
      <c r="G745" s="230">
        <v>12</v>
      </c>
      <c r="H745" s="111">
        <v>0</v>
      </c>
      <c r="I745" s="88">
        <f t="shared" si="143"/>
        <v>0</v>
      </c>
      <c r="J745" s="75">
        <v>2</v>
      </c>
      <c r="K745" s="89">
        <f t="shared" si="144"/>
        <v>6</v>
      </c>
      <c r="L745" s="75">
        <v>1.8</v>
      </c>
      <c r="M745" s="89">
        <f t="shared" si="145"/>
        <v>6.666666666666666</v>
      </c>
    </row>
    <row r="746" spans="1:13" ht="12.75" customHeight="1">
      <c r="A746" s="108" t="s">
        <v>165</v>
      </c>
      <c r="B746" s="86" t="s">
        <v>583</v>
      </c>
      <c r="C746" s="85" t="s">
        <v>18</v>
      </c>
      <c r="D746" s="85" t="s">
        <v>236</v>
      </c>
      <c r="E746" s="85" t="s">
        <v>584</v>
      </c>
      <c r="F746" s="87" t="s">
        <v>291</v>
      </c>
      <c r="G746" s="230">
        <v>81.6</v>
      </c>
      <c r="H746" s="111">
        <v>0</v>
      </c>
      <c r="I746" s="88">
        <f t="shared" si="143"/>
        <v>0</v>
      </c>
      <c r="J746" s="75">
        <v>37.71</v>
      </c>
      <c r="K746" s="89">
        <f t="shared" si="144"/>
        <v>2.1638822593476528</v>
      </c>
      <c r="L746" s="75">
        <v>31.531</v>
      </c>
      <c r="M746" s="89">
        <f t="shared" si="145"/>
        <v>2.5879293393802922</v>
      </c>
    </row>
    <row r="747" spans="1:13" ht="12.75" customHeight="1">
      <c r="A747" s="108" t="s">
        <v>165</v>
      </c>
      <c r="B747" s="86" t="s">
        <v>585</v>
      </c>
      <c r="C747" s="85" t="s">
        <v>18</v>
      </c>
      <c r="D747" s="85" t="s">
        <v>236</v>
      </c>
      <c r="E747" s="85" t="s">
        <v>586</v>
      </c>
      <c r="F747" s="87" t="s">
        <v>585</v>
      </c>
      <c r="G747" s="230">
        <v>8.6</v>
      </c>
      <c r="H747" s="111">
        <v>0</v>
      </c>
      <c r="I747" s="88">
        <f t="shared" si="143"/>
        <v>0</v>
      </c>
      <c r="J747" s="75">
        <v>0</v>
      </c>
      <c r="K747" s="89">
        <f t="shared" si="144"/>
        <v>0</v>
      </c>
      <c r="L747" s="75">
        <v>0</v>
      </c>
      <c r="M747" s="89">
        <f t="shared" si="145"/>
        <v>0</v>
      </c>
    </row>
    <row r="748" spans="1:13" ht="12.75" customHeight="1">
      <c r="A748" s="108" t="s">
        <v>165</v>
      </c>
      <c r="B748" s="86" t="s">
        <v>583</v>
      </c>
      <c r="C748" s="85" t="s">
        <v>18</v>
      </c>
      <c r="D748" s="85" t="s">
        <v>191</v>
      </c>
      <c r="E748" s="85" t="s">
        <v>584</v>
      </c>
      <c r="F748" s="87" t="s">
        <v>238</v>
      </c>
      <c r="G748" s="230">
        <v>4</v>
      </c>
      <c r="H748" s="111">
        <v>0</v>
      </c>
      <c r="I748" s="88">
        <f t="shared" si="143"/>
        <v>0</v>
      </c>
      <c r="J748" s="75">
        <v>0.68</v>
      </c>
      <c r="K748" s="89">
        <f t="shared" si="144"/>
        <v>5.88235294117647</v>
      </c>
      <c r="L748" s="75">
        <v>0</v>
      </c>
      <c r="M748" s="89">
        <f t="shared" si="145"/>
        <v>0</v>
      </c>
    </row>
    <row r="749" spans="1:13" ht="12.75" customHeight="1">
      <c r="A749" s="108" t="s">
        <v>165</v>
      </c>
      <c r="B749" s="86" t="s">
        <v>583</v>
      </c>
      <c r="C749" s="85" t="s">
        <v>18</v>
      </c>
      <c r="D749" s="85" t="s">
        <v>193</v>
      </c>
      <c r="E749" s="85" t="s">
        <v>584</v>
      </c>
      <c r="F749" s="87" t="s">
        <v>239</v>
      </c>
      <c r="G749" s="230">
        <v>18</v>
      </c>
      <c r="H749" s="111">
        <v>0</v>
      </c>
      <c r="I749" s="88">
        <f t="shared" si="143"/>
        <v>0</v>
      </c>
      <c r="J749" s="75">
        <v>20.45</v>
      </c>
      <c r="K749" s="89">
        <f t="shared" si="144"/>
        <v>0.880195599022005</v>
      </c>
      <c r="L749" s="75">
        <v>12.654</v>
      </c>
      <c r="M749" s="89">
        <f t="shared" si="145"/>
        <v>1.422475106685633</v>
      </c>
    </row>
    <row r="750" spans="1:13" ht="12.75" customHeight="1">
      <c r="A750" s="108" t="s">
        <v>165</v>
      </c>
      <c r="B750" s="86" t="s">
        <v>583</v>
      </c>
      <c r="C750" s="85" t="s">
        <v>18</v>
      </c>
      <c r="D750" s="85" t="s">
        <v>256</v>
      </c>
      <c r="E750" s="85" t="s">
        <v>584</v>
      </c>
      <c r="F750" s="87" t="s">
        <v>257</v>
      </c>
      <c r="G750" s="230">
        <v>15</v>
      </c>
      <c r="H750" s="111">
        <v>0</v>
      </c>
      <c r="I750" s="88">
        <f t="shared" si="143"/>
        <v>0</v>
      </c>
      <c r="J750" s="75">
        <v>8.04</v>
      </c>
      <c r="K750" s="89">
        <f t="shared" si="144"/>
        <v>1.865671641791045</v>
      </c>
      <c r="L750" s="75">
        <v>7.798</v>
      </c>
      <c r="M750" s="89">
        <f t="shared" si="145"/>
        <v>1.923570146191331</v>
      </c>
    </row>
    <row r="751" spans="1:13" ht="12.75" customHeight="1">
      <c r="A751" s="108" t="s">
        <v>165</v>
      </c>
      <c r="B751" s="86" t="s">
        <v>583</v>
      </c>
      <c r="C751" s="85" t="s">
        <v>18</v>
      </c>
      <c r="D751" s="85" t="s">
        <v>259</v>
      </c>
      <c r="E751" s="85" t="s">
        <v>584</v>
      </c>
      <c r="F751" s="87" t="s">
        <v>587</v>
      </c>
      <c r="G751" s="230">
        <v>7</v>
      </c>
      <c r="H751" s="111">
        <v>0</v>
      </c>
      <c r="I751" s="88">
        <f t="shared" si="143"/>
        <v>0</v>
      </c>
      <c r="J751" s="75">
        <v>1.17</v>
      </c>
      <c r="K751" s="89">
        <f t="shared" si="144"/>
        <v>5.982905982905983</v>
      </c>
      <c r="L751" s="75">
        <v>1.17</v>
      </c>
      <c r="M751" s="89">
        <f t="shared" si="145"/>
        <v>5.982905982905983</v>
      </c>
    </row>
    <row r="752" spans="1:13" ht="12.75" customHeight="1" thickBot="1">
      <c r="A752" s="108" t="s">
        <v>165</v>
      </c>
      <c r="B752" s="86" t="s">
        <v>583</v>
      </c>
      <c r="C752" s="85" t="s">
        <v>18</v>
      </c>
      <c r="D752" s="85" t="s">
        <v>295</v>
      </c>
      <c r="E752" s="85" t="s">
        <v>584</v>
      </c>
      <c r="F752" s="87" t="s">
        <v>670</v>
      </c>
      <c r="G752" s="230">
        <v>0</v>
      </c>
      <c r="H752" s="111">
        <v>0</v>
      </c>
      <c r="I752" s="88">
        <f t="shared" si="143"/>
        <v>0</v>
      </c>
      <c r="J752" s="75">
        <v>0</v>
      </c>
      <c r="K752" s="89">
        <f t="shared" si="144"/>
        <v>0</v>
      </c>
      <c r="L752" s="75">
        <v>1.5</v>
      </c>
      <c r="M752" s="89">
        <f t="shared" si="145"/>
        <v>0</v>
      </c>
    </row>
    <row r="753" spans="1:15" ht="12.75" customHeight="1">
      <c r="A753" s="109"/>
      <c r="B753" s="91" t="s">
        <v>11</v>
      </c>
      <c r="C753" s="90" t="s">
        <v>18</v>
      </c>
      <c r="D753" s="90"/>
      <c r="E753" s="90"/>
      <c r="F753" s="92"/>
      <c r="G753" s="231">
        <f>SUM(G736:G752)</f>
        <v>3321.2</v>
      </c>
      <c r="H753" s="93">
        <f>SUM(H736:H752)</f>
        <v>0</v>
      </c>
      <c r="I753" s="94">
        <f t="shared" si="143"/>
        <v>0</v>
      </c>
      <c r="J753" s="93">
        <f>SUM(J736:J752)</f>
        <v>1981.5</v>
      </c>
      <c r="K753" s="94">
        <f t="shared" si="144"/>
        <v>1.6761039616452182</v>
      </c>
      <c r="L753" s="93">
        <f>SUM(L736:L752)</f>
        <v>1154.2749999999999</v>
      </c>
      <c r="M753" s="94">
        <f t="shared" si="145"/>
        <v>2.8773039353706875</v>
      </c>
      <c r="O753" s="80"/>
    </row>
    <row r="754" spans="9:13" ht="12.75" customHeight="1">
      <c r="I754" s="88"/>
      <c r="K754" s="89"/>
      <c r="M754" s="89"/>
    </row>
    <row r="755" spans="1:15" ht="12.75" customHeight="1">
      <c r="A755" s="107"/>
      <c r="B755" s="95" t="s">
        <v>168</v>
      </c>
      <c r="C755" s="81"/>
      <c r="D755" s="81"/>
      <c r="E755" s="81"/>
      <c r="F755" s="96"/>
      <c r="G755" s="232">
        <f>SUM(G734,G753)</f>
        <v>4003.2</v>
      </c>
      <c r="H755" s="103">
        <f>SUM(H734,H753)</f>
        <v>1646</v>
      </c>
      <c r="I755" s="98">
        <f>IF(H755=0,0,$G755/H755)</f>
        <v>2.432077764277035</v>
      </c>
      <c r="J755" s="97">
        <f>SUM(J734,J753)</f>
        <v>3191.87</v>
      </c>
      <c r="K755" s="99">
        <f>IF(J755=0,0,$G755/J755)</f>
        <v>1.254186417366622</v>
      </c>
      <c r="L755" s="97">
        <f>SUM(L734,L753)</f>
        <v>1965.076</v>
      </c>
      <c r="M755" s="99">
        <f>IF(L755=0,0,$G755/L755)</f>
        <v>2.037173116968504</v>
      </c>
      <c r="O755" s="80"/>
    </row>
    <row r="756" spans="9:13" ht="12.75" customHeight="1">
      <c r="I756" s="88"/>
      <c r="K756" s="89"/>
      <c r="M756" s="89"/>
    </row>
    <row r="757" spans="9:13" ht="12.75" customHeight="1">
      <c r="I757" s="88"/>
      <c r="K757" s="89"/>
      <c r="M757" s="89"/>
    </row>
    <row r="758" spans="1:13" ht="12.75" customHeight="1">
      <c r="A758" s="108" t="s">
        <v>169</v>
      </c>
      <c r="B758" s="86" t="s">
        <v>588</v>
      </c>
      <c r="C758" s="85" t="s">
        <v>171</v>
      </c>
      <c r="D758" s="85" t="s">
        <v>266</v>
      </c>
      <c r="E758" s="85" t="s">
        <v>589</v>
      </c>
      <c r="F758" s="87" t="s">
        <v>299</v>
      </c>
      <c r="G758" s="230">
        <v>9130</v>
      </c>
      <c r="H758" s="111">
        <v>9100</v>
      </c>
      <c r="I758" s="88">
        <f aca="true" t="shared" si="146" ref="I758:I784">IF(H758=0,0,$G758/H758)</f>
        <v>1.0032967032967033</v>
      </c>
      <c r="J758" s="75">
        <v>9100</v>
      </c>
      <c r="K758" s="89">
        <f aca="true" t="shared" si="147" ref="K758:K784">IF(J758=0,0,$G758/J758)</f>
        <v>1.0032967032967033</v>
      </c>
      <c r="L758" s="75">
        <v>7407.516</v>
      </c>
      <c r="M758" s="89">
        <f aca="true" t="shared" si="148" ref="M758:M784">IF(L758=0,0,$G758/L758)</f>
        <v>1.2325319310818903</v>
      </c>
    </row>
    <row r="759" spans="1:13" ht="12.75" customHeight="1">
      <c r="A759" s="108" t="s">
        <v>169</v>
      </c>
      <c r="B759" s="86" t="s">
        <v>588</v>
      </c>
      <c r="C759" s="85" t="s">
        <v>171</v>
      </c>
      <c r="D759" s="85" t="s">
        <v>220</v>
      </c>
      <c r="E759" s="85" t="s">
        <v>589</v>
      </c>
      <c r="F759" s="87" t="s">
        <v>470</v>
      </c>
      <c r="G759" s="230">
        <v>2282</v>
      </c>
      <c r="H759" s="111">
        <v>2275</v>
      </c>
      <c r="I759" s="88">
        <f t="shared" si="146"/>
        <v>1.003076923076923</v>
      </c>
      <c r="J759" s="75">
        <v>2275</v>
      </c>
      <c r="K759" s="89">
        <f t="shared" si="147"/>
        <v>1.003076923076923</v>
      </c>
      <c r="L759" s="75">
        <v>1858.681</v>
      </c>
      <c r="M759" s="89">
        <f t="shared" si="148"/>
        <v>1.227752368480659</v>
      </c>
    </row>
    <row r="760" spans="1:13" ht="12.75" customHeight="1">
      <c r="A760" s="108" t="s">
        <v>169</v>
      </c>
      <c r="B760" s="86" t="s">
        <v>588</v>
      </c>
      <c r="C760" s="85" t="s">
        <v>171</v>
      </c>
      <c r="D760" s="85" t="s">
        <v>222</v>
      </c>
      <c r="E760" s="85" t="s">
        <v>589</v>
      </c>
      <c r="F760" s="87" t="s">
        <v>471</v>
      </c>
      <c r="G760" s="230">
        <v>822</v>
      </c>
      <c r="H760" s="111">
        <v>819</v>
      </c>
      <c r="I760" s="88">
        <f t="shared" si="146"/>
        <v>1.0036630036630036</v>
      </c>
      <c r="J760" s="75">
        <v>819</v>
      </c>
      <c r="K760" s="89">
        <f t="shared" si="147"/>
        <v>1.0036630036630036</v>
      </c>
      <c r="L760" s="75">
        <v>669.123</v>
      </c>
      <c r="M760" s="89">
        <f t="shared" si="148"/>
        <v>1.2284736886940069</v>
      </c>
    </row>
    <row r="761" spans="1:13" ht="12.75" customHeight="1">
      <c r="A761" s="108" t="s">
        <v>169</v>
      </c>
      <c r="B761" s="86" t="s">
        <v>588</v>
      </c>
      <c r="C761" s="85" t="s">
        <v>171</v>
      </c>
      <c r="D761" s="85" t="s">
        <v>211</v>
      </c>
      <c r="E761" s="85" t="s">
        <v>589</v>
      </c>
      <c r="F761" s="87" t="s">
        <v>224</v>
      </c>
      <c r="G761" s="230">
        <v>50</v>
      </c>
      <c r="H761" s="111">
        <v>20</v>
      </c>
      <c r="I761" s="88">
        <f t="shared" si="146"/>
        <v>2.5</v>
      </c>
      <c r="J761" s="75">
        <v>20</v>
      </c>
      <c r="K761" s="89">
        <f t="shared" si="147"/>
        <v>2.5</v>
      </c>
      <c r="L761" s="75">
        <v>0</v>
      </c>
      <c r="M761" s="89">
        <f t="shared" si="148"/>
        <v>0</v>
      </c>
    </row>
    <row r="762" spans="1:13" ht="12.75" customHeight="1">
      <c r="A762" s="108" t="s">
        <v>169</v>
      </c>
      <c r="B762" s="86" t="s">
        <v>588</v>
      </c>
      <c r="C762" s="85" t="s">
        <v>171</v>
      </c>
      <c r="D762" s="85" t="s">
        <v>225</v>
      </c>
      <c r="E762" s="85" t="s">
        <v>589</v>
      </c>
      <c r="F762" s="87" t="s">
        <v>590</v>
      </c>
      <c r="G762" s="230">
        <v>150</v>
      </c>
      <c r="H762" s="111">
        <v>120</v>
      </c>
      <c r="I762" s="88">
        <f t="shared" si="146"/>
        <v>1.25</v>
      </c>
      <c r="J762" s="75">
        <v>130</v>
      </c>
      <c r="K762" s="89">
        <f t="shared" si="147"/>
        <v>1.1538461538461537</v>
      </c>
      <c r="L762" s="75">
        <v>108.703</v>
      </c>
      <c r="M762" s="89">
        <f t="shared" si="148"/>
        <v>1.3799067183058424</v>
      </c>
    </row>
    <row r="763" spans="1:13" ht="12.75" customHeight="1">
      <c r="A763" s="108" t="s">
        <v>169</v>
      </c>
      <c r="B763" s="86" t="s">
        <v>588</v>
      </c>
      <c r="C763" s="85" t="s">
        <v>171</v>
      </c>
      <c r="D763" s="85" t="s">
        <v>253</v>
      </c>
      <c r="E763" s="85" t="s">
        <v>589</v>
      </c>
      <c r="F763" s="87" t="s">
        <v>254</v>
      </c>
      <c r="G763" s="230">
        <v>5</v>
      </c>
      <c r="H763" s="111">
        <v>8</v>
      </c>
      <c r="I763" s="88">
        <f t="shared" si="146"/>
        <v>0.625</v>
      </c>
      <c r="J763" s="75">
        <v>8</v>
      </c>
      <c r="K763" s="89">
        <f t="shared" si="147"/>
        <v>0.625</v>
      </c>
      <c r="L763" s="75">
        <v>1.98</v>
      </c>
      <c r="M763" s="89">
        <f t="shared" si="148"/>
        <v>2.525252525252525</v>
      </c>
    </row>
    <row r="764" spans="1:13" ht="12.75" customHeight="1">
      <c r="A764" s="108" t="s">
        <v>169</v>
      </c>
      <c r="B764" s="86" t="s">
        <v>588</v>
      </c>
      <c r="C764" s="85" t="s">
        <v>171</v>
      </c>
      <c r="D764" s="85" t="s">
        <v>227</v>
      </c>
      <c r="E764" s="85" t="s">
        <v>589</v>
      </c>
      <c r="F764" s="87" t="s">
        <v>473</v>
      </c>
      <c r="G764" s="230">
        <v>90</v>
      </c>
      <c r="H764" s="111">
        <v>110</v>
      </c>
      <c r="I764" s="88">
        <f t="shared" si="146"/>
        <v>0.8181818181818182</v>
      </c>
      <c r="J764" s="75">
        <v>110</v>
      </c>
      <c r="K764" s="89">
        <f t="shared" si="147"/>
        <v>0.8181818181818182</v>
      </c>
      <c r="L764" s="75">
        <v>113.354</v>
      </c>
      <c r="M764" s="89">
        <f t="shared" si="148"/>
        <v>0.7939728637719005</v>
      </c>
    </row>
    <row r="765" spans="1:13" ht="12.75" customHeight="1">
      <c r="A765" s="108" t="s">
        <v>169</v>
      </c>
      <c r="B765" s="86" t="s">
        <v>588</v>
      </c>
      <c r="C765" s="85" t="s">
        <v>171</v>
      </c>
      <c r="D765" s="85" t="s">
        <v>176</v>
      </c>
      <c r="E765" s="85" t="s">
        <v>589</v>
      </c>
      <c r="F765" s="87" t="s">
        <v>229</v>
      </c>
      <c r="G765" s="230">
        <v>80</v>
      </c>
      <c r="H765" s="111">
        <v>60</v>
      </c>
      <c r="I765" s="88">
        <f t="shared" si="146"/>
        <v>1.3333333333333333</v>
      </c>
      <c r="J765" s="75">
        <v>60</v>
      </c>
      <c r="K765" s="89">
        <f t="shared" si="147"/>
        <v>1.3333333333333333</v>
      </c>
      <c r="L765" s="75">
        <v>80.538</v>
      </c>
      <c r="M765" s="89">
        <f t="shared" si="148"/>
        <v>0.9933199235143659</v>
      </c>
    </row>
    <row r="766" spans="1:13" ht="12.75" customHeight="1">
      <c r="A766" s="108" t="s">
        <v>169</v>
      </c>
      <c r="B766" s="86" t="s">
        <v>588</v>
      </c>
      <c r="C766" s="85" t="s">
        <v>171</v>
      </c>
      <c r="D766" s="85" t="s">
        <v>179</v>
      </c>
      <c r="E766" s="85" t="s">
        <v>589</v>
      </c>
      <c r="F766" s="87" t="s">
        <v>180</v>
      </c>
      <c r="G766" s="230">
        <v>30</v>
      </c>
      <c r="H766" s="111">
        <v>20</v>
      </c>
      <c r="I766" s="88">
        <f t="shared" si="146"/>
        <v>1.5</v>
      </c>
      <c r="J766" s="75">
        <v>20</v>
      </c>
      <c r="K766" s="89">
        <f t="shared" si="147"/>
        <v>1.5</v>
      </c>
      <c r="L766" s="75">
        <v>6.086</v>
      </c>
      <c r="M766" s="89">
        <f t="shared" si="148"/>
        <v>4.929346040092014</v>
      </c>
    </row>
    <row r="767" spans="1:13" ht="12.75" customHeight="1">
      <c r="A767" s="108" t="s">
        <v>169</v>
      </c>
      <c r="B767" s="86" t="s">
        <v>588</v>
      </c>
      <c r="C767" s="85" t="s">
        <v>171</v>
      </c>
      <c r="D767" s="85" t="s">
        <v>181</v>
      </c>
      <c r="E767" s="85" t="s">
        <v>589</v>
      </c>
      <c r="F767" s="87" t="s">
        <v>182</v>
      </c>
      <c r="G767" s="230">
        <v>50</v>
      </c>
      <c r="H767" s="111">
        <v>50</v>
      </c>
      <c r="I767" s="88">
        <f t="shared" si="146"/>
        <v>1</v>
      </c>
      <c r="J767" s="75">
        <v>50</v>
      </c>
      <c r="K767" s="89">
        <f t="shared" si="147"/>
        <v>1</v>
      </c>
      <c r="L767" s="75">
        <v>31</v>
      </c>
      <c r="M767" s="89">
        <f t="shared" si="148"/>
        <v>1.6129032258064515</v>
      </c>
    </row>
    <row r="768" spans="1:13" ht="12.75" customHeight="1">
      <c r="A768" s="108" t="s">
        <v>169</v>
      </c>
      <c r="B768" s="86" t="s">
        <v>588</v>
      </c>
      <c r="C768" s="85" t="s">
        <v>171</v>
      </c>
      <c r="D768" s="85" t="s">
        <v>183</v>
      </c>
      <c r="E768" s="85" t="s">
        <v>589</v>
      </c>
      <c r="F768" s="87" t="s">
        <v>184</v>
      </c>
      <c r="G768" s="230">
        <v>45</v>
      </c>
      <c r="H768" s="111">
        <v>40</v>
      </c>
      <c r="I768" s="88">
        <f t="shared" si="146"/>
        <v>1.125</v>
      </c>
      <c r="J768" s="75">
        <v>40</v>
      </c>
      <c r="K768" s="89">
        <f t="shared" si="147"/>
        <v>1.125</v>
      </c>
      <c r="L768" s="75">
        <v>35.959</v>
      </c>
      <c r="M768" s="89">
        <f t="shared" si="148"/>
        <v>1.2514252342946133</v>
      </c>
    </row>
    <row r="769" spans="1:13" ht="12.75" customHeight="1">
      <c r="A769" s="108" t="s">
        <v>169</v>
      </c>
      <c r="B769" s="86" t="s">
        <v>588</v>
      </c>
      <c r="C769" s="85" t="s">
        <v>171</v>
      </c>
      <c r="D769" s="85" t="s">
        <v>233</v>
      </c>
      <c r="E769" s="85" t="s">
        <v>589</v>
      </c>
      <c r="F769" s="87" t="s">
        <v>234</v>
      </c>
      <c r="G769" s="230">
        <v>420</v>
      </c>
      <c r="H769" s="111">
        <v>540</v>
      </c>
      <c r="I769" s="88">
        <f t="shared" si="146"/>
        <v>0.7777777777777778</v>
      </c>
      <c r="J769" s="75">
        <v>470</v>
      </c>
      <c r="K769" s="89">
        <f t="shared" si="147"/>
        <v>0.8936170212765957</v>
      </c>
      <c r="L769" s="75">
        <v>435.521</v>
      </c>
      <c r="M769" s="89">
        <f t="shared" si="148"/>
        <v>0.9643622236355996</v>
      </c>
    </row>
    <row r="770" spans="1:13" ht="12.75" customHeight="1">
      <c r="A770" s="108" t="s">
        <v>169</v>
      </c>
      <c r="B770" s="86" t="s">
        <v>588</v>
      </c>
      <c r="C770" s="85" t="s">
        <v>171</v>
      </c>
      <c r="D770" s="85" t="s">
        <v>185</v>
      </c>
      <c r="E770" s="85" t="s">
        <v>589</v>
      </c>
      <c r="F770" s="87" t="s">
        <v>186</v>
      </c>
      <c r="G770" s="230">
        <v>30</v>
      </c>
      <c r="H770" s="111">
        <v>0</v>
      </c>
      <c r="I770" s="88">
        <f t="shared" si="146"/>
        <v>0</v>
      </c>
      <c r="J770" s="75">
        <v>15</v>
      </c>
      <c r="K770" s="89">
        <f t="shared" si="147"/>
        <v>2</v>
      </c>
      <c r="L770" s="75">
        <v>1.718</v>
      </c>
      <c r="M770" s="89">
        <f t="shared" si="148"/>
        <v>17.462165308498253</v>
      </c>
    </row>
    <row r="771" spans="1:13" ht="12.75" customHeight="1">
      <c r="A771" s="108" t="s">
        <v>169</v>
      </c>
      <c r="B771" s="86" t="s">
        <v>588</v>
      </c>
      <c r="C771" s="85" t="s">
        <v>171</v>
      </c>
      <c r="D771" s="85" t="s">
        <v>187</v>
      </c>
      <c r="E771" s="85" t="s">
        <v>589</v>
      </c>
      <c r="F771" s="87" t="s">
        <v>235</v>
      </c>
      <c r="G771" s="230">
        <v>200</v>
      </c>
      <c r="H771" s="111">
        <v>220</v>
      </c>
      <c r="I771" s="88">
        <f t="shared" si="146"/>
        <v>0.9090909090909091</v>
      </c>
      <c r="J771" s="75">
        <v>192</v>
      </c>
      <c r="K771" s="89">
        <f t="shared" si="147"/>
        <v>1.0416666666666667</v>
      </c>
      <c r="L771" s="75">
        <v>90.322</v>
      </c>
      <c r="M771" s="89">
        <f t="shared" si="148"/>
        <v>2.2142999490711013</v>
      </c>
    </row>
    <row r="772" spans="1:13" ht="12.75" customHeight="1">
      <c r="A772" s="108" t="s">
        <v>169</v>
      </c>
      <c r="B772" s="86" t="s">
        <v>588</v>
      </c>
      <c r="C772" s="85" t="s">
        <v>171</v>
      </c>
      <c r="D772" s="85" t="s">
        <v>289</v>
      </c>
      <c r="E772" s="85" t="s">
        <v>589</v>
      </c>
      <c r="F772" s="87" t="s">
        <v>362</v>
      </c>
      <c r="G772" s="230">
        <v>45</v>
      </c>
      <c r="H772" s="111">
        <v>45</v>
      </c>
      <c r="I772" s="88">
        <f t="shared" si="146"/>
        <v>1</v>
      </c>
      <c r="J772" s="75">
        <v>45</v>
      </c>
      <c r="K772" s="89">
        <f t="shared" si="147"/>
        <v>1</v>
      </c>
      <c r="L772" s="75">
        <v>34.209</v>
      </c>
      <c r="M772" s="89">
        <f t="shared" si="148"/>
        <v>1.3154433043935805</v>
      </c>
    </row>
    <row r="773" spans="1:13" ht="12.75" customHeight="1">
      <c r="A773" s="108" t="s">
        <v>169</v>
      </c>
      <c r="B773" s="86" t="s">
        <v>588</v>
      </c>
      <c r="C773" s="85" t="s">
        <v>171</v>
      </c>
      <c r="D773" s="85" t="s">
        <v>236</v>
      </c>
      <c r="E773" s="85" t="s">
        <v>589</v>
      </c>
      <c r="F773" s="87" t="s">
        <v>291</v>
      </c>
      <c r="G773" s="230">
        <v>160</v>
      </c>
      <c r="H773" s="111">
        <v>150</v>
      </c>
      <c r="I773" s="88">
        <f t="shared" si="146"/>
        <v>1.0666666666666667</v>
      </c>
      <c r="J773" s="75">
        <v>185</v>
      </c>
      <c r="K773" s="89">
        <f t="shared" si="147"/>
        <v>0.8648648648648649</v>
      </c>
      <c r="L773" s="75">
        <v>168.632</v>
      </c>
      <c r="M773" s="89">
        <f t="shared" si="148"/>
        <v>0.9488116134541487</v>
      </c>
    </row>
    <row r="774" spans="1:13" ht="12.75" customHeight="1">
      <c r="A774" s="108" t="s">
        <v>169</v>
      </c>
      <c r="B774" s="86" t="s">
        <v>588</v>
      </c>
      <c r="C774" s="85" t="s">
        <v>171</v>
      </c>
      <c r="D774" s="85" t="s">
        <v>191</v>
      </c>
      <c r="E774" s="85" t="s">
        <v>589</v>
      </c>
      <c r="F774" s="87" t="s">
        <v>591</v>
      </c>
      <c r="G774" s="230">
        <v>200</v>
      </c>
      <c r="H774" s="111">
        <v>230</v>
      </c>
      <c r="I774" s="88">
        <f t="shared" si="146"/>
        <v>0.8695652173913043</v>
      </c>
      <c r="J774" s="75">
        <v>255</v>
      </c>
      <c r="K774" s="89">
        <f t="shared" si="147"/>
        <v>0.7843137254901961</v>
      </c>
      <c r="L774" s="75">
        <v>186.79</v>
      </c>
      <c r="M774" s="89">
        <f t="shared" si="148"/>
        <v>1.070721130681514</v>
      </c>
    </row>
    <row r="775" spans="1:13" ht="12.75" customHeight="1">
      <c r="A775" s="108" t="s">
        <v>169</v>
      </c>
      <c r="B775" s="86" t="s">
        <v>588</v>
      </c>
      <c r="C775" s="85" t="s">
        <v>171</v>
      </c>
      <c r="D775" s="85" t="s">
        <v>193</v>
      </c>
      <c r="E775" s="85" t="s">
        <v>589</v>
      </c>
      <c r="F775" s="87" t="s">
        <v>459</v>
      </c>
      <c r="G775" s="230">
        <v>250</v>
      </c>
      <c r="H775" s="111">
        <v>200</v>
      </c>
      <c r="I775" s="88">
        <f t="shared" si="146"/>
        <v>1.25</v>
      </c>
      <c r="J775" s="75">
        <v>200</v>
      </c>
      <c r="K775" s="89">
        <f t="shared" si="147"/>
        <v>1.25</v>
      </c>
      <c r="L775" s="75">
        <v>191.233</v>
      </c>
      <c r="M775" s="89">
        <f t="shared" si="148"/>
        <v>1.307305747438988</v>
      </c>
    </row>
    <row r="776" spans="1:13" ht="12.75" customHeight="1">
      <c r="A776" s="108" t="s">
        <v>169</v>
      </c>
      <c r="B776" s="86" t="s">
        <v>588</v>
      </c>
      <c r="C776" s="85" t="s">
        <v>171</v>
      </c>
      <c r="D776" s="85" t="s">
        <v>449</v>
      </c>
      <c r="E776" s="85" t="s">
        <v>589</v>
      </c>
      <c r="F776" s="87" t="s">
        <v>631</v>
      </c>
      <c r="G776" s="230">
        <v>0</v>
      </c>
      <c r="H776" s="111">
        <v>50</v>
      </c>
      <c r="I776" s="88">
        <f t="shared" si="146"/>
        <v>0</v>
      </c>
      <c r="J776" s="75">
        <v>60</v>
      </c>
      <c r="K776" s="89">
        <f t="shared" si="147"/>
        <v>0</v>
      </c>
      <c r="L776" s="75">
        <v>54</v>
      </c>
      <c r="M776" s="89">
        <f t="shared" si="148"/>
        <v>0</v>
      </c>
    </row>
    <row r="777" spans="1:13" ht="12.75" customHeight="1">
      <c r="A777" s="108" t="s">
        <v>169</v>
      </c>
      <c r="B777" s="86" t="s">
        <v>588</v>
      </c>
      <c r="C777" s="85" t="s">
        <v>171</v>
      </c>
      <c r="D777" s="85" t="s">
        <v>256</v>
      </c>
      <c r="E777" s="85" t="s">
        <v>589</v>
      </c>
      <c r="F777" s="87" t="s">
        <v>257</v>
      </c>
      <c r="G777" s="230">
        <v>20</v>
      </c>
      <c r="H777" s="111">
        <v>10</v>
      </c>
      <c r="I777" s="88">
        <f t="shared" si="146"/>
        <v>2</v>
      </c>
      <c r="J777" s="75">
        <v>10</v>
      </c>
      <c r="K777" s="89">
        <f t="shared" si="147"/>
        <v>2</v>
      </c>
      <c r="L777" s="75">
        <v>3.743</v>
      </c>
      <c r="M777" s="89">
        <f t="shared" si="148"/>
        <v>5.343307507347048</v>
      </c>
    </row>
    <row r="778" spans="1:13" ht="12.75" customHeight="1">
      <c r="A778" s="108" t="s">
        <v>169</v>
      </c>
      <c r="B778" s="86" t="s">
        <v>588</v>
      </c>
      <c r="C778" s="85" t="s">
        <v>171</v>
      </c>
      <c r="D778" s="85" t="s">
        <v>195</v>
      </c>
      <c r="E778" s="85" t="s">
        <v>589</v>
      </c>
      <c r="F778" s="87" t="s">
        <v>258</v>
      </c>
      <c r="G778" s="230">
        <v>5</v>
      </c>
      <c r="H778" s="111">
        <v>3</v>
      </c>
      <c r="I778" s="88">
        <f t="shared" si="146"/>
        <v>1.6666666666666667</v>
      </c>
      <c r="J778" s="75">
        <v>3</v>
      </c>
      <c r="K778" s="89">
        <f t="shared" si="147"/>
        <v>1.6666666666666667</v>
      </c>
      <c r="L778" s="75">
        <v>2.248</v>
      </c>
      <c r="M778" s="89">
        <f t="shared" si="148"/>
        <v>2.2241992882562274</v>
      </c>
    </row>
    <row r="779" spans="1:13" ht="12.75" customHeight="1">
      <c r="A779" s="108" t="s">
        <v>169</v>
      </c>
      <c r="B779" s="86" t="s">
        <v>588</v>
      </c>
      <c r="C779" s="85" t="s">
        <v>171</v>
      </c>
      <c r="D779" s="85" t="s">
        <v>240</v>
      </c>
      <c r="E779" s="85" t="s">
        <v>589</v>
      </c>
      <c r="F779" s="87" t="s">
        <v>592</v>
      </c>
      <c r="G779" s="230">
        <v>130</v>
      </c>
      <c r="H779" s="111">
        <v>200</v>
      </c>
      <c r="I779" s="88">
        <f t="shared" si="146"/>
        <v>0.65</v>
      </c>
      <c r="J779" s="75">
        <v>200</v>
      </c>
      <c r="K779" s="89">
        <f t="shared" si="147"/>
        <v>0.65</v>
      </c>
      <c r="L779" s="75">
        <v>161.329</v>
      </c>
      <c r="M779" s="89">
        <f t="shared" si="148"/>
        <v>0.8058067675371445</v>
      </c>
    </row>
    <row r="780" spans="1:13" ht="12.75" customHeight="1">
      <c r="A780" s="108" t="s">
        <v>169</v>
      </c>
      <c r="B780" s="86" t="s">
        <v>588</v>
      </c>
      <c r="C780" s="85" t="s">
        <v>171</v>
      </c>
      <c r="D780" s="85" t="s">
        <v>295</v>
      </c>
      <c r="E780" s="85" t="s">
        <v>589</v>
      </c>
      <c r="F780" s="87" t="s">
        <v>638</v>
      </c>
      <c r="G780" s="230">
        <v>6</v>
      </c>
      <c r="H780" s="111">
        <v>0</v>
      </c>
      <c r="I780" s="88">
        <f t="shared" si="146"/>
        <v>0</v>
      </c>
      <c r="J780" s="75">
        <v>3</v>
      </c>
      <c r="K780" s="89">
        <f t="shared" si="147"/>
        <v>2</v>
      </c>
      <c r="L780" s="75">
        <v>4.08</v>
      </c>
      <c r="M780" s="89">
        <f t="shared" si="148"/>
        <v>1.4705882352941175</v>
      </c>
    </row>
    <row r="781" spans="1:13" ht="12.75" customHeight="1">
      <c r="A781" s="108" t="s">
        <v>169</v>
      </c>
      <c r="B781" s="86" t="s">
        <v>594</v>
      </c>
      <c r="C781" s="85" t="s">
        <v>171</v>
      </c>
      <c r="D781" s="85" t="s">
        <v>478</v>
      </c>
      <c r="E781" s="85" t="s">
        <v>639</v>
      </c>
      <c r="F781" s="87" t="s">
        <v>633</v>
      </c>
      <c r="G781" s="230">
        <v>0</v>
      </c>
      <c r="H781" s="111">
        <v>1722</v>
      </c>
      <c r="I781" s="88">
        <f t="shared" si="146"/>
        <v>0</v>
      </c>
      <c r="J781" s="75">
        <v>825</v>
      </c>
      <c r="K781" s="89">
        <f t="shared" si="147"/>
        <v>0</v>
      </c>
      <c r="L781" s="75">
        <v>825</v>
      </c>
      <c r="M781" s="89">
        <f t="shared" si="148"/>
        <v>0</v>
      </c>
    </row>
    <row r="782" spans="1:13" ht="12.75" customHeight="1">
      <c r="A782" s="108" t="s">
        <v>169</v>
      </c>
      <c r="B782" s="86" t="s">
        <v>594</v>
      </c>
      <c r="C782" s="85" t="s">
        <v>171</v>
      </c>
      <c r="D782" s="85" t="s">
        <v>635</v>
      </c>
      <c r="E782" s="85" t="s">
        <v>639</v>
      </c>
      <c r="F782" s="87" t="s">
        <v>640</v>
      </c>
      <c r="G782" s="230">
        <v>0</v>
      </c>
      <c r="H782" s="111">
        <v>0</v>
      </c>
      <c r="I782" s="88">
        <f t="shared" si="146"/>
        <v>0</v>
      </c>
      <c r="J782" s="75">
        <v>897</v>
      </c>
      <c r="K782" s="89">
        <f t="shared" si="147"/>
        <v>0</v>
      </c>
      <c r="L782" s="75">
        <v>897</v>
      </c>
      <c r="M782" s="89">
        <f t="shared" si="148"/>
        <v>0</v>
      </c>
    </row>
    <row r="783" spans="1:13" ht="12.75" customHeight="1" thickBot="1">
      <c r="A783" s="108" t="s">
        <v>169</v>
      </c>
      <c r="B783" s="86" t="s">
        <v>594</v>
      </c>
      <c r="C783" s="85" t="s">
        <v>171</v>
      </c>
      <c r="D783" s="85" t="s">
        <v>452</v>
      </c>
      <c r="E783" s="85" t="s">
        <v>639</v>
      </c>
      <c r="F783" s="87" t="s">
        <v>595</v>
      </c>
      <c r="G783" s="230">
        <v>50</v>
      </c>
      <c r="H783" s="111">
        <v>0</v>
      </c>
      <c r="I783" s="88">
        <f t="shared" si="146"/>
        <v>0</v>
      </c>
      <c r="J783" s="75">
        <v>0</v>
      </c>
      <c r="K783" s="89">
        <f t="shared" si="147"/>
        <v>0</v>
      </c>
      <c r="L783" s="75">
        <v>0</v>
      </c>
      <c r="M783" s="89">
        <f t="shared" si="148"/>
        <v>0</v>
      </c>
    </row>
    <row r="784" spans="1:15" ht="12.75" customHeight="1">
      <c r="A784" s="109"/>
      <c r="B784" s="91" t="s">
        <v>11</v>
      </c>
      <c r="C784" s="90"/>
      <c r="D784" s="90" t="s">
        <v>171</v>
      </c>
      <c r="E784" s="90"/>
      <c r="F784" s="92"/>
      <c r="G784" s="231">
        <f>SUM(G758:G783)</f>
        <v>14250</v>
      </c>
      <c r="H784" s="93">
        <f>SUM(H758:H783)</f>
        <v>15992</v>
      </c>
      <c r="I784" s="94">
        <f t="shared" si="146"/>
        <v>0.8910705352676338</v>
      </c>
      <c r="J784" s="93">
        <f>SUM(J758:J783)</f>
        <v>15992</v>
      </c>
      <c r="K784" s="94">
        <f t="shared" si="147"/>
        <v>0.8910705352676338</v>
      </c>
      <c r="L784" s="93">
        <f>SUM(L758:L783)</f>
        <v>13368.765000000001</v>
      </c>
      <c r="M784" s="94">
        <f t="shared" si="148"/>
        <v>1.0659174575961203</v>
      </c>
      <c r="O784" s="80"/>
    </row>
    <row r="785" spans="9:13" ht="12.75" customHeight="1">
      <c r="I785" s="88"/>
      <c r="K785" s="89"/>
      <c r="M785" s="89"/>
    </row>
    <row r="786" spans="1:15" ht="12.75" customHeight="1">
      <c r="A786" s="107"/>
      <c r="B786" s="95" t="s">
        <v>173</v>
      </c>
      <c r="C786" s="81"/>
      <c r="D786" s="81"/>
      <c r="E786" s="81"/>
      <c r="F786" s="96"/>
      <c r="G786" s="232">
        <f>SUM(G784)</f>
        <v>14250</v>
      </c>
      <c r="H786" s="103">
        <f>SUM(H784)</f>
        <v>15992</v>
      </c>
      <c r="I786" s="98">
        <f>IF(H786=0,0,$G786/H786)</f>
        <v>0.8910705352676338</v>
      </c>
      <c r="J786" s="97">
        <f>SUM(J784)</f>
        <v>15992</v>
      </c>
      <c r="K786" s="99">
        <f>IF(J786=0,0,$G786/J786)</f>
        <v>0.8910705352676338</v>
      </c>
      <c r="L786" s="97">
        <f>SUM(L784)</f>
        <v>13368.765000000001</v>
      </c>
      <c r="M786" s="99">
        <f>IF(L786=0,0,$G786/L786)</f>
        <v>1.0659174575961203</v>
      </c>
      <c r="O786" s="80"/>
    </row>
    <row r="787" spans="9:13" ht="12.75" customHeight="1">
      <c r="I787" s="88"/>
      <c r="K787" s="89"/>
      <c r="M787" s="89"/>
    </row>
    <row r="788" spans="1:15" ht="12.75" customHeight="1">
      <c r="A788" s="107"/>
      <c r="B788" s="95" t="s">
        <v>174</v>
      </c>
      <c r="C788" s="81"/>
      <c r="D788" s="81"/>
      <c r="E788" s="81"/>
      <c r="F788" s="96"/>
      <c r="G788" s="232">
        <f>SUM(G24,G125,G146,G168,G192,G215,G237,G259,G280,G369,G435,G455,G582,G666,G682,G728,G755,G786)</f>
        <v>193810.86700000003</v>
      </c>
      <c r="H788" s="103">
        <f>SUM(H24,H125,H146,H168,H192,H215,H237,H259,H280,H369,H435,H455,H582,H666,H682,H728,H755,H786)</f>
        <v>204756.79200000002</v>
      </c>
      <c r="I788" s="98">
        <f>IF(H788=0,0,$G788/H788)</f>
        <v>0.94654182216334</v>
      </c>
      <c r="J788" s="97">
        <f>SUM(J24,J125,J146,J168,J192,J215,J237,J259,J280,J369,J435,J455,J582,J666,J682,J728,J755,J786)</f>
        <v>262554.63300000003</v>
      </c>
      <c r="K788" s="99">
        <f>IF(J788=0,0,$G788/J788)</f>
        <v>0.7381734794982651</v>
      </c>
      <c r="L788" s="97">
        <f>SUM(L24,L125,L146,L168,L192,L215,L237,L259,L280,L369,L435,L455,L582,L666,L682,L728,L755,L786)</f>
        <v>171570.27000000002</v>
      </c>
      <c r="M788" s="99">
        <f>IF(L788=0,0,$G788/L788)</f>
        <v>1.1296296671911747</v>
      </c>
      <c r="O788" s="97"/>
    </row>
    <row r="789" spans="3:13" s="112" customFormat="1" ht="12.75" customHeight="1">
      <c r="C789" s="110"/>
      <c r="D789" s="110"/>
      <c r="E789" s="110"/>
      <c r="G789" s="233"/>
      <c r="H789" s="111"/>
      <c r="I789" s="111"/>
      <c r="J789" s="75"/>
      <c r="K789" s="75"/>
      <c r="L789" s="75"/>
      <c r="M789" s="75"/>
    </row>
    <row r="790" ht="12.75" customHeight="1">
      <c r="B790" s="77">
        <f>600+850+600+1002+100+750+740+520+310+100+771+2000+200+40+50</f>
        <v>8633</v>
      </c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1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9.125" style="1" customWidth="1"/>
    <col min="2" max="2" width="64.25390625" style="1" customWidth="1"/>
    <col min="3" max="3" width="4.75390625" style="73" customWidth="1"/>
    <col min="4" max="4" width="14.25390625" style="1" customWidth="1"/>
    <col min="5" max="5" width="9.125" style="1" customWidth="1"/>
    <col min="6" max="6" width="19.375" style="1" customWidth="1"/>
    <col min="7" max="7" width="8.75390625" style="1" customWidth="1"/>
    <col min="8" max="16384" width="9.125" style="1" customWidth="1"/>
  </cols>
  <sheetData>
    <row r="2" spans="3:4" ht="12.75">
      <c r="C2" s="2">
        <v>1</v>
      </c>
      <c r="D2" s="1" t="s">
        <v>676</v>
      </c>
    </row>
    <row r="3" spans="2:4" ht="12.75">
      <c r="B3" s="3" t="s">
        <v>677</v>
      </c>
      <c r="C3" s="4">
        <v>2</v>
      </c>
      <c r="D3" s="1" t="s">
        <v>678</v>
      </c>
    </row>
    <row r="4" spans="2:4" ht="12.75">
      <c r="B4" s="3"/>
      <c r="C4" s="4">
        <v>3</v>
      </c>
      <c r="D4" s="1" t="s">
        <v>679</v>
      </c>
    </row>
    <row r="5" spans="2:4" ht="12.75">
      <c r="B5" s="3"/>
      <c r="C5" s="5">
        <v>4</v>
      </c>
      <c r="D5" s="1" t="s">
        <v>680</v>
      </c>
    </row>
    <row r="6" spans="2:4" ht="13.5" thickBot="1">
      <c r="B6" s="3"/>
      <c r="C6" s="1"/>
      <c r="D6" s="1" t="s">
        <v>681</v>
      </c>
    </row>
    <row r="7" spans="2:7" s="194" customFormat="1" ht="16.5" thickBot="1">
      <c r="B7" s="198" t="s">
        <v>677</v>
      </c>
      <c r="C7" s="195"/>
      <c r="D7" s="196"/>
      <c r="E7" s="196"/>
      <c r="F7" s="197"/>
      <c r="G7" s="193"/>
    </row>
    <row r="8" spans="2:6" s="9" customFormat="1" ht="13.5" thickBot="1">
      <c r="B8" s="199"/>
      <c r="C8" s="7"/>
      <c r="D8" s="6" t="s">
        <v>682</v>
      </c>
      <c r="E8" s="6" t="s">
        <v>683</v>
      </c>
      <c r="F8" s="8" t="s">
        <v>684</v>
      </c>
    </row>
    <row r="9" spans="2:6" s="10" customFormat="1" ht="12.75">
      <c r="B9" s="11" t="s">
        <v>685</v>
      </c>
      <c r="C9" s="12">
        <v>1</v>
      </c>
      <c r="D9" s="13">
        <v>3636</v>
      </c>
      <c r="E9" s="13">
        <v>5166</v>
      </c>
      <c r="F9" s="14"/>
    </row>
    <row r="10" spans="2:6" s="10" customFormat="1" ht="12.75">
      <c r="B10" s="11" t="s">
        <v>686</v>
      </c>
      <c r="C10" s="12">
        <v>1</v>
      </c>
      <c r="D10" s="13">
        <v>3636</v>
      </c>
      <c r="E10" s="13">
        <v>5166</v>
      </c>
      <c r="F10" s="14"/>
    </row>
    <row r="11" spans="2:6" s="10" customFormat="1" ht="12.75">
      <c r="B11" s="15" t="s">
        <v>687</v>
      </c>
      <c r="C11" s="5">
        <v>3</v>
      </c>
      <c r="D11" s="16">
        <v>2310</v>
      </c>
      <c r="E11" s="16">
        <v>5909</v>
      </c>
      <c r="F11" s="14"/>
    </row>
    <row r="12" spans="2:6" s="10" customFormat="1" ht="12.75">
      <c r="B12" s="15" t="s">
        <v>688</v>
      </c>
      <c r="C12" s="12">
        <v>1</v>
      </c>
      <c r="D12" s="13">
        <v>3636</v>
      </c>
      <c r="E12" s="13">
        <v>5166</v>
      </c>
      <c r="F12" s="14"/>
    </row>
    <row r="13" spans="2:6" s="10" customFormat="1" ht="12.75">
      <c r="B13" s="15" t="s">
        <v>689</v>
      </c>
      <c r="C13" s="12">
        <v>1</v>
      </c>
      <c r="D13" s="13">
        <v>3636</v>
      </c>
      <c r="E13" s="13">
        <v>5166</v>
      </c>
      <c r="F13" s="14"/>
    </row>
    <row r="14" spans="2:6" s="10" customFormat="1" ht="27.75" customHeight="1">
      <c r="B14" s="17" t="s">
        <v>690</v>
      </c>
      <c r="C14" s="12">
        <v>1</v>
      </c>
      <c r="D14" s="18">
        <v>2219</v>
      </c>
      <c r="E14" s="18">
        <v>6121</v>
      </c>
      <c r="F14" s="14"/>
    </row>
    <row r="15" spans="2:6" s="10" customFormat="1" ht="12.75">
      <c r="B15" s="22" t="s">
        <v>693</v>
      </c>
      <c r="C15" s="5">
        <v>3</v>
      </c>
      <c r="D15" s="23">
        <v>2310</v>
      </c>
      <c r="E15" s="16">
        <v>5171</v>
      </c>
      <c r="F15" s="24"/>
    </row>
    <row r="16" spans="2:6" s="10" customFormat="1" ht="12.75">
      <c r="B16" s="15" t="s">
        <v>704</v>
      </c>
      <c r="C16" s="12">
        <v>1</v>
      </c>
      <c r="D16" s="20">
        <v>2221</v>
      </c>
      <c r="E16" s="21">
        <v>5171</v>
      </c>
      <c r="F16" s="14"/>
    </row>
    <row r="17" spans="2:6" s="10" customFormat="1" ht="12.75">
      <c r="B17" s="15" t="s">
        <v>710</v>
      </c>
      <c r="C17" s="12">
        <v>1</v>
      </c>
      <c r="D17" s="27">
        <v>2212</v>
      </c>
      <c r="E17" s="28">
        <v>5171</v>
      </c>
      <c r="F17" s="29"/>
    </row>
    <row r="18" spans="2:6" s="10" customFormat="1" ht="12.75">
      <c r="B18" s="15" t="s">
        <v>711</v>
      </c>
      <c r="C18" s="12">
        <v>1</v>
      </c>
      <c r="D18" s="27">
        <v>2212</v>
      </c>
      <c r="E18" s="28">
        <v>5171</v>
      </c>
      <c r="F18" s="29"/>
    </row>
    <row r="19" spans="2:7" s="10" customFormat="1" ht="12.75">
      <c r="B19" s="15" t="s">
        <v>712</v>
      </c>
      <c r="C19" s="12">
        <v>1</v>
      </c>
      <c r="D19" s="25">
        <v>2219</v>
      </c>
      <c r="E19" s="18">
        <v>6121</v>
      </c>
      <c r="F19" s="14"/>
      <c r="G19" s="26"/>
    </row>
    <row r="20" spans="2:6" s="10" customFormat="1" ht="12.75">
      <c r="B20" s="15" t="s">
        <v>713</v>
      </c>
      <c r="C20" s="12">
        <v>1</v>
      </c>
      <c r="D20" s="27">
        <v>2212</v>
      </c>
      <c r="E20" s="28">
        <v>6121</v>
      </c>
      <c r="F20" s="14"/>
    </row>
    <row r="21" spans="2:6" s="10" customFormat="1" ht="12.75">
      <c r="B21" s="15" t="s">
        <v>714</v>
      </c>
      <c r="C21" s="12">
        <v>3</v>
      </c>
      <c r="D21" s="30">
        <v>2321</v>
      </c>
      <c r="E21" s="31">
        <v>5171</v>
      </c>
      <c r="F21" s="14"/>
    </row>
    <row r="22" spans="2:6" s="10" customFormat="1" ht="12.75">
      <c r="B22" s="22" t="s">
        <v>715</v>
      </c>
      <c r="C22" s="12">
        <v>3</v>
      </c>
      <c r="D22" s="23">
        <v>2310</v>
      </c>
      <c r="E22" s="16">
        <v>5171</v>
      </c>
      <c r="F22" s="14"/>
    </row>
    <row r="23" spans="2:6" s="10" customFormat="1" ht="12.75">
      <c r="B23" s="22" t="s">
        <v>716</v>
      </c>
      <c r="C23" s="12">
        <v>3</v>
      </c>
      <c r="D23" s="30">
        <v>2321</v>
      </c>
      <c r="E23" s="31">
        <v>6121</v>
      </c>
      <c r="F23" s="14"/>
    </row>
    <row r="24" spans="2:6" s="10" customFormat="1" ht="12.75">
      <c r="B24" s="22" t="s">
        <v>717</v>
      </c>
      <c r="C24" s="12">
        <v>3</v>
      </c>
      <c r="D24" s="30">
        <v>2321</v>
      </c>
      <c r="E24" s="31">
        <v>6121</v>
      </c>
      <c r="F24" s="14"/>
    </row>
    <row r="25" spans="2:7" s="10" customFormat="1" ht="12.75">
      <c r="B25" s="22" t="s">
        <v>735</v>
      </c>
      <c r="C25" s="12">
        <v>1</v>
      </c>
      <c r="D25" s="32">
        <v>6171</v>
      </c>
      <c r="E25" s="33">
        <v>6121</v>
      </c>
      <c r="F25" s="14"/>
      <c r="G25" s="34"/>
    </row>
    <row r="26" spans="2:7" s="10" customFormat="1" ht="12.75">
      <c r="B26" s="22" t="s">
        <v>736</v>
      </c>
      <c r="C26" s="12">
        <v>1</v>
      </c>
      <c r="D26" s="35">
        <v>3631</v>
      </c>
      <c r="E26" s="35">
        <v>6121</v>
      </c>
      <c r="F26" s="14"/>
      <c r="G26" s="34"/>
    </row>
    <row r="27" spans="2:7" s="10" customFormat="1" ht="12.75">
      <c r="B27" s="15" t="s">
        <v>737</v>
      </c>
      <c r="C27" s="12">
        <v>1</v>
      </c>
      <c r="D27" s="35">
        <v>3631</v>
      </c>
      <c r="E27" s="35">
        <v>6121</v>
      </c>
      <c r="F27" s="14"/>
      <c r="G27" s="34"/>
    </row>
    <row r="28" spans="2:7" s="10" customFormat="1" ht="12.75">
      <c r="B28" s="15" t="s">
        <v>738</v>
      </c>
      <c r="C28" s="12">
        <v>1</v>
      </c>
      <c r="D28" s="35">
        <v>3631</v>
      </c>
      <c r="E28" s="35">
        <v>6121</v>
      </c>
      <c r="F28" s="14"/>
      <c r="G28" s="34"/>
    </row>
    <row r="29" spans="2:6" s="10" customFormat="1" ht="12.75">
      <c r="B29" s="15" t="s">
        <v>739</v>
      </c>
      <c r="C29" s="12">
        <v>1</v>
      </c>
      <c r="D29" s="35">
        <v>3631</v>
      </c>
      <c r="E29" s="35">
        <v>6121</v>
      </c>
      <c r="F29" s="14"/>
    </row>
    <row r="30" spans="2:6" s="10" customFormat="1" ht="12.75">
      <c r="B30" s="15" t="s">
        <v>740</v>
      </c>
      <c r="C30" s="12">
        <v>1</v>
      </c>
      <c r="D30" s="35">
        <v>3631</v>
      </c>
      <c r="E30" s="35">
        <v>6121</v>
      </c>
      <c r="F30" s="24"/>
    </row>
    <row r="31" spans="2:7" s="10" customFormat="1" ht="12.75">
      <c r="B31" s="15" t="s">
        <v>741</v>
      </c>
      <c r="C31" s="12">
        <v>1</v>
      </c>
      <c r="D31" s="35">
        <v>3631</v>
      </c>
      <c r="E31" s="35">
        <v>6121</v>
      </c>
      <c r="F31" s="14"/>
      <c r="G31" s="36"/>
    </row>
    <row r="32" spans="2:7" s="10" customFormat="1" ht="12.75">
      <c r="B32" s="15" t="s">
        <v>742</v>
      </c>
      <c r="C32" s="12">
        <v>1</v>
      </c>
      <c r="D32" s="35">
        <v>3631</v>
      </c>
      <c r="E32" s="35">
        <v>6121</v>
      </c>
      <c r="F32" s="14"/>
      <c r="G32" s="36"/>
    </row>
    <row r="33" spans="2:7" s="10" customFormat="1" ht="12.75">
      <c r="B33" s="15" t="s">
        <v>743</v>
      </c>
      <c r="C33" s="12">
        <v>1</v>
      </c>
      <c r="D33" s="35">
        <v>3631</v>
      </c>
      <c r="E33" s="35">
        <v>6121</v>
      </c>
      <c r="F33" s="14"/>
      <c r="G33" s="36"/>
    </row>
    <row r="34" spans="2:7" s="10" customFormat="1" ht="12.75">
      <c r="B34" s="37" t="s">
        <v>744</v>
      </c>
      <c r="C34" s="12">
        <v>1</v>
      </c>
      <c r="D34" s="35">
        <v>3631</v>
      </c>
      <c r="E34" s="35">
        <v>6121</v>
      </c>
      <c r="F34" s="14"/>
      <c r="G34" s="36"/>
    </row>
    <row r="35" spans="2:7" s="10" customFormat="1" ht="12.75">
      <c r="B35" s="37" t="s">
        <v>745</v>
      </c>
      <c r="C35" s="12">
        <v>1</v>
      </c>
      <c r="D35" s="35">
        <v>3631</v>
      </c>
      <c r="E35" s="35">
        <v>6121</v>
      </c>
      <c r="F35" s="14"/>
      <c r="G35" s="36"/>
    </row>
    <row r="36" spans="2:7" s="10" customFormat="1" ht="13.5" thickBot="1">
      <c r="B36" s="180" t="s">
        <v>746</v>
      </c>
      <c r="C36" s="177">
        <v>1</v>
      </c>
      <c r="D36" s="178">
        <v>3631</v>
      </c>
      <c r="E36" s="178">
        <v>6121</v>
      </c>
      <c r="F36" s="179"/>
      <c r="G36" s="36"/>
    </row>
    <row r="37" spans="2:7" s="10" customFormat="1" ht="12.75">
      <c r="B37" s="181"/>
      <c r="C37" s="182"/>
      <c r="D37" s="183"/>
      <c r="E37" s="183"/>
      <c r="F37" s="184"/>
      <c r="G37" s="36"/>
    </row>
    <row r="38" spans="2:7" s="10" customFormat="1" ht="12.75">
      <c r="B38" s="185"/>
      <c r="C38" s="186"/>
      <c r="D38" s="187"/>
      <c r="E38" s="187"/>
      <c r="F38" s="188"/>
      <c r="G38" s="36"/>
    </row>
    <row r="39" spans="2:7" s="10" customFormat="1" ht="13.5" thickBot="1">
      <c r="B39" s="185"/>
      <c r="C39" s="186"/>
      <c r="D39" s="187"/>
      <c r="E39" s="187"/>
      <c r="F39" s="188"/>
      <c r="G39" s="36"/>
    </row>
    <row r="40" spans="2:7" s="194" customFormat="1" ht="16.5" thickBot="1">
      <c r="B40" s="198" t="s">
        <v>854</v>
      </c>
      <c r="C40" s="195"/>
      <c r="D40" s="196"/>
      <c r="E40" s="196"/>
      <c r="F40" s="197"/>
      <c r="G40" s="193"/>
    </row>
    <row r="41" spans="2:7" s="10" customFormat="1" ht="12.75">
      <c r="B41" s="216" t="s">
        <v>718</v>
      </c>
      <c r="C41" s="217"/>
      <c r="D41" s="202"/>
      <c r="E41" s="203"/>
      <c r="F41" s="218" t="s">
        <v>719</v>
      </c>
      <c r="G41" s="26"/>
    </row>
    <row r="42" spans="2:7" s="10" customFormat="1" ht="12.75">
      <c r="B42" s="209" t="s">
        <v>720</v>
      </c>
      <c r="C42" s="12"/>
      <c r="D42" s="20"/>
      <c r="E42" s="21"/>
      <c r="F42" s="219" t="s">
        <v>719</v>
      </c>
      <c r="G42" s="26"/>
    </row>
    <row r="43" spans="2:7" s="10" customFormat="1" ht="12.75">
      <c r="B43" s="209" t="s">
        <v>721</v>
      </c>
      <c r="C43" s="12"/>
      <c r="D43" s="20"/>
      <c r="E43" s="21"/>
      <c r="F43" s="219" t="s">
        <v>719</v>
      </c>
      <c r="G43" s="26"/>
    </row>
    <row r="44" spans="2:7" s="10" customFormat="1" ht="12.75">
      <c r="B44" s="209" t="s">
        <v>722</v>
      </c>
      <c r="C44" s="12"/>
      <c r="D44" s="20"/>
      <c r="E44" s="21"/>
      <c r="F44" s="219" t="s">
        <v>719</v>
      </c>
      <c r="G44" s="26"/>
    </row>
    <row r="45" spans="2:7" s="10" customFormat="1" ht="12.75">
      <c r="B45" s="209" t="s">
        <v>723</v>
      </c>
      <c r="C45" s="12"/>
      <c r="D45" s="20"/>
      <c r="E45" s="21"/>
      <c r="F45" s="219" t="s">
        <v>719</v>
      </c>
      <c r="G45" s="26"/>
    </row>
    <row r="46" spans="2:7" s="10" customFormat="1" ht="12.75">
      <c r="B46" s="209" t="s">
        <v>724</v>
      </c>
      <c r="C46" s="12"/>
      <c r="D46" s="20"/>
      <c r="E46" s="21"/>
      <c r="F46" s="219" t="s">
        <v>719</v>
      </c>
      <c r="G46" s="26"/>
    </row>
    <row r="47" spans="2:7" s="10" customFormat="1" ht="12.75">
      <c r="B47" s="209" t="s">
        <v>725</v>
      </c>
      <c r="C47" s="12"/>
      <c r="D47" s="20"/>
      <c r="E47" s="21"/>
      <c r="F47" s="219" t="s">
        <v>719</v>
      </c>
      <c r="G47" s="26"/>
    </row>
    <row r="48" spans="2:7" s="10" customFormat="1" ht="12.75">
      <c r="B48" s="209" t="s">
        <v>726</v>
      </c>
      <c r="C48" s="12"/>
      <c r="D48" s="20"/>
      <c r="E48" s="21"/>
      <c r="F48" s="219" t="s">
        <v>719</v>
      </c>
      <c r="G48" s="26"/>
    </row>
    <row r="49" spans="2:7" s="10" customFormat="1" ht="12.75">
      <c r="B49" s="209" t="s">
        <v>727</v>
      </c>
      <c r="C49" s="12"/>
      <c r="D49" s="20"/>
      <c r="E49" s="21"/>
      <c r="F49" s="219" t="s">
        <v>719</v>
      </c>
      <c r="G49" s="26"/>
    </row>
    <row r="50" spans="2:7" s="10" customFormat="1" ht="12.75">
      <c r="B50" s="209" t="s">
        <v>728</v>
      </c>
      <c r="C50" s="12"/>
      <c r="D50" s="20"/>
      <c r="E50" s="21"/>
      <c r="F50" s="219" t="s">
        <v>719</v>
      </c>
      <c r="G50" s="26"/>
    </row>
    <row r="51" spans="2:7" s="10" customFormat="1" ht="12.75">
      <c r="B51" s="209" t="s">
        <v>729</v>
      </c>
      <c r="C51" s="12"/>
      <c r="D51" s="20"/>
      <c r="E51" s="21"/>
      <c r="F51" s="219" t="s">
        <v>719</v>
      </c>
      <c r="G51" s="26"/>
    </row>
    <row r="52" spans="2:7" s="10" customFormat="1" ht="13.5" thickBot="1">
      <c r="B52" s="220" t="s">
        <v>730</v>
      </c>
      <c r="C52" s="212"/>
      <c r="D52" s="213"/>
      <c r="E52" s="214"/>
      <c r="F52" s="221" t="s">
        <v>731</v>
      </c>
      <c r="G52" s="34"/>
    </row>
    <row r="53" spans="2:7" s="10" customFormat="1" ht="12.75">
      <c r="B53" s="185"/>
      <c r="C53" s="186"/>
      <c r="D53" s="187"/>
      <c r="E53" s="187"/>
      <c r="F53" s="188"/>
      <c r="G53" s="36"/>
    </row>
    <row r="54" spans="2:7" s="10" customFormat="1" ht="13.5" thickBot="1">
      <c r="B54" s="185"/>
      <c r="C54" s="186"/>
      <c r="D54" s="187"/>
      <c r="E54" s="187"/>
      <c r="F54" s="188"/>
      <c r="G54" s="36"/>
    </row>
    <row r="55" spans="2:7" s="194" customFormat="1" ht="16.5" thickBot="1">
      <c r="B55" s="198" t="s">
        <v>853</v>
      </c>
      <c r="C55" s="195"/>
      <c r="D55" s="196"/>
      <c r="E55" s="196"/>
      <c r="F55" s="197"/>
      <c r="G55" s="193"/>
    </row>
    <row r="56" spans="2:7" s="10" customFormat="1" ht="12.75">
      <c r="B56" s="200" t="s">
        <v>691</v>
      </c>
      <c r="C56" s="201">
        <v>2</v>
      </c>
      <c r="D56" s="202">
        <v>2212</v>
      </c>
      <c r="E56" s="203">
        <v>6121</v>
      </c>
      <c r="F56" s="204"/>
      <c r="G56" s="36"/>
    </row>
    <row r="57" spans="2:7" s="10" customFormat="1" ht="12.75">
      <c r="B57" s="205" t="s">
        <v>692</v>
      </c>
      <c r="C57" s="19">
        <v>2</v>
      </c>
      <c r="D57" s="20">
        <v>2212</v>
      </c>
      <c r="E57" s="21">
        <v>6121</v>
      </c>
      <c r="F57" s="206"/>
      <c r="G57" s="36"/>
    </row>
    <row r="58" spans="2:7" s="10" customFormat="1" ht="12.75">
      <c r="B58" s="207" t="s">
        <v>694</v>
      </c>
      <c r="C58" s="19">
        <v>2</v>
      </c>
      <c r="D58" s="20">
        <v>2212</v>
      </c>
      <c r="E58" s="21">
        <v>6121</v>
      </c>
      <c r="F58" s="206"/>
      <c r="G58" s="36"/>
    </row>
    <row r="59" spans="2:7" s="10" customFormat="1" ht="12.75">
      <c r="B59" s="207" t="s">
        <v>695</v>
      </c>
      <c r="C59" s="19">
        <v>2</v>
      </c>
      <c r="D59" s="20">
        <v>2212</v>
      </c>
      <c r="E59" s="21">
        <v>6121</v>
      </c>
      <c r="F59" s="206"/>
      <c r="G59" s="36"/>
    </row>
    <row r="60" spans="2:7" s="10" customFormat="1" ht="12.75">
      <c r="B60" s="207" t="s">
        <v>696</v>
      </c>
      <c r="C60" s="19">
        <v>2</v>
      </c>
      <c r="D60" s="20">
        <v>2212</v>
      </c>
      <c r="E60" s="21">
        <v>6121</v>
      </c>
      <c r="F60" s="206"/>
      <c r="G60" s="36"/>
    </row>
    <row r="61" spans="2:7" s="10" customFormat="1" ht="12.75">
      <c r="B61" s="207" t="s">
        <v>697</v>
      </c>
      <c r="C61" s="19">
        <v>2</v>
      </c>
      <c r="D61" s="20">
        <v>2212</v>
      </c>
      <c r="E61" s="21">
        <v>6121</v>
      </c>
      <c r="F61" s="208"/>
      <c r="G61" s="36"/>
    </row>
    <row r="62" spans="2:7" s="10" customFormat="1" ht="12.75">
      <c r="B62" s="207" t="s">
        <v>698</v>
      </c>
      <c r="C62" s="19">
        <v>2</v>
      </c>
      <c r="D62" s="20">
        <v>2212</v>
      </c>
      <c r="E62" s="21">
        <v>6121</v>
      </c>
      <c r="F62" s="206"/>
      <c r="G62" s="36"/>
    </row>
    <row r="63" spans="2:7" s="10" customFormat="1" ht="12.75">
      <c r="B63" s="207" t="s">
        <v>699</v>
      </c>
      <c r="C63" s="19">
        <v>2</v>
      </c>
      <c r="D63" s="20">
        <v>2212</v>
      </c>
      <c r="E63" s="21">
        <v>6121</v>
      </c>
      <c r="F63" s="206"/>
      <c r="G63" s="36"/>
    </row>
    <row r="64" spans="2:7" s="10" customFormat="1" ht="12.75">
      <c r="B64" s="207" t="s">
        <v>700</v>
      </c>
      <c r="C64" s="19">
        <v>2</v>
      </c>
      <c r="D64" s="20">
        <v>2310</v>
      </c>
      <c r="E64" s="21">
        <v>5171</v>
      </c>
      <c r="F64" s="206"/>
      <c r="G64" s="36"/>
    </row>
    <row r="65" spans="2:7" s="10" customFormat="1" ht="12.75">
      <c r="B65" s="207" t="s">
        <v>701</v>
      </c>
      <c r="C65" s="19">
        <v>2</v>
      </c>
      <c r="D65" s="20">
        <v>2212</v>
      </c>
      <c r="E65" s="21">
        <v>6121</v>
      </c>
      <c r="F65" s="206"/>
      <c r="G65" s="36"/>
    </row>
    <row r="66" spans="2:7" s="10" customFormat="1" ht="12.75">
      <c r="B66" s="207" t="s">
        <v>702</v>
      </c>
      <c r="C66" s="19">
        <v>2</v>
      </c>
      <c r="D66" s="20">
        <v>2212</v>
      </c>
      <c r="E66" s="21">
        <v>6121</v>
      </c>
      <c r="F66" s="206"/>
      <c r="G66" s="36"/>
    </row>
    <row r="67" spans="2:7" s="10" customFormat="1" ht="12.75">
      <c r="B67" s="207" t="s">
        <v>703</v>
      </c>
      <c r="C67" s="19">
        <v>2</v>
      </c>
      <c r="D67" s="20">
        <v>2212</v>
      </c>
      <c r="E67" s="21">
        <v>6121</v>
      </c>
      <c r="F67" s="206"/>
      <c r="G67" s="36"/>
    </row>
    <row r="68" spans="2:7" s="10" customFormat="1" ht="12.75">
      <c r="B68" s="209" t="s">
        <v>705</v>
      </c>
      <c r="C68" s="12">
        <v>2</v>
      </c>
      <c r="D68" s="25">
        <v>2219</v>
      </c>
      <c r="E68" s="18">
        <v>6121</v>
      </c>
      <c r="F68" s="206"/>
      <c r="G68" s="36"/>
    </row>
    <row r="69" spans="2:7" s="10" customFormat="1" ht="12.75">
      <c r="B69" s="209" t="s">
        <v>706</v>
      </c>
      <c r="C69" s="12">
        <v>2</v>
      </c>
      <c r="D69" s="25">
        <v>2219</v>
      </c>
      <c r="E69" s="18">
        <v>6121</v>
      </c>
      <c r="F69" s="206"/>
      <c r="G69" s="36"/>
    </row>
    <row r="70" spans="2:7" s="10" customFormat="1" ht="12.75">
      <c r="B70" s="209" t="s">
        <v>707</v>
      </c>
      <c r="C70" s="12">
        <v>2</v>
      </c>
      <c r="D70" s="25">
        <v>2219</v>
      </c>
      <c r="E70" s="18">
        <v>6121</v>
      </c>
      <c r="F70" s="206"/>
      <c r="G70" s="36"/>
    </row>
    <row r="71" spans="2:7" s="10" customFormat="1" ht="12.75">
      <c r="B71" s="209" t="s">
        <v>708</v>
      </c>
      <c r="C71" s="12">
        <v>2</v>
      </c>
      <c r="D71" s="25">
        <v>2219</v>
      </c>
      <c r="E71" s="18">
        <v>6121</v>
      </c>
      <c r="F71" s="206"/>
      <c r="G71" s="36"/>
    </row>
    <row r="72" spans="2:7" s="10" customFormat="1" ht="12.75">
      <c r="B72" s="209" t="s">
        <v>709</v>
      </c>
      <c r="C72" s="12">
        <v>2</v>
      </c>
      <c r="D72" s="25">
        <v>2219</v>
      </c>
      <c r="E72" s="18">
        <v>6121</v>
      </c>
      <c r="F72" s="206"/>
      <c r="G72" s="36"/>
    </row>
    <row r="73" spans="2:7" s="10" customFormat="1" ht="12.75">
      <c r="B73" s="207" t="s">
        <v>732</v>
      </c>
      <c r="C73" s="12">
        <v>4</v>
      </c>
      <c r="D73" s="32">
        <v>5512</v>
      </c>
      <c r="E73" s="33">
        <v>6121</v>
      </c>
      <c r="F73" s="210"/>
      <c r="G73" s="36"/>
    </row>
    <row r="74" spans="2:7" s="10" customFormat="1" ht="12.75">
      <c r="B74" s="207" t="s">
        <v>733</v>
      </c>
      <c r="C74" s="12">
        <v>4</v>
      </c>
      <c r="D74" s="32">
        <v>5512</v>
      </c>
      <c r="E74" s="33">
        <v>6121</v>
      </c>
      <c r="F74" s="210"/>
      <c r="G74" s="36"/>
    </row>
    <row r="75" spans="2:7" s="10" customFormat="1" ht="13.5" thickBot="1">
      <c r="B75" s="211" t="s">
        <v>734</v>
      </c>
      <c r="C75" s="212">
        <v>4</v>
      </c>
      <c r="D75" s="213">
        <v>5512</v>
      </c>
      <c r="E75" s="214">
        <v>6121</v>
      </c>
      <c r="F75" s="215"/>
      <c r="G75" s="36"/>
    </row>
    <row r="76" spans="2:7" s="10" customFormat="1" ht="12.75">
      <c r="B76" s="185"/>
      <c r="C76" s="186"/>
      <c r="D76" s="187"/>
      <c r="E76" s="187"/>
      <c r="F76" s="188"/>
      <c r="G76" s="36"/>
    </row>
    <row r="77" spans="2:7" s="10" customFormat="1" ht="12.75">
      <c r="B77" s="185"/>
      <c r="C77" s="186"/>
      <c r="D77" s="187"/>
      <c r="E77" s="187"/>
      <c r="F77" s="188"/>
      <c r="G77" s="36"/>
    </row>
    <row r="78" spans="2:7" s="10" customFormat="1" ht="13.5" thickBot="1">
      <c r="B78" s="189"/>
      <c r="C78" s="190"/>
      <c r="D78" s="191"/>
      <c r="E78" s="191"/>
      <c r="F78" s="192"/>
      <c r="G78" s="36"/>
    </row>
    <row r="79" spans="2:7" s="194" customFormat="1" ht="16.5" thickBot="1">
      <c r="B79" s="198" t="s">
        <v>747</v>
      </c>
      <c r="C79" s="195"/>
      <c r="D79" s="196"/>
      <c r="E79" s="196"/>
      <c r="F79" s="197"/>
      <c r="G79" s="193"/>
    </row>
    <row r="80" spans="2:7" s="10" customFormat="1" ht="12.75">
      <c r="B80" s="38" t="s">
        <v>748</v>
      </c>
      <c r="C80" s="39">
        <v>4</v>
      </c>
      <c r="D80" s="40">
        <v>3113</v>
      </c>
      <c r="E80" s="41">
        <v>6121</v>
      </c>
      <c r="F80" s="42" t="s">
        <v>749</v>
      </c>
      <c r="G80" s="26"/>
    </row>
    <row r="81" spans="2:7" s="10" customFormat="1" ht="12.75">
      <c r="B81" s="38" t="s">
        <v>750</v>
      </c>
      <c r="C81" s="39">
        <v>4</v>
      </c>
      <c r="D81" s="40">
        <v>3113</v>
      </c>
      <c r="E81" s="41">
        <v>6121</v>
      </c>
      <c r="F81" s="42" t="s">
        <v>749</v>
      </c>
      <c r="G81" s="26"/>
    </row>
    <row r="82" spans="2:7" s="10" customFormat="1" ht="12.75">
      <c r="B82" s="38" t="s">
        <v>751</v>
      </c>
      <c r="C82" s="39">
        <v>4</v>
      </c>
      <c r="D82" s="40">
        <v>3113</v>
      </c>
      <c r="E82" s="41">
        <v>6121</v>
      </c>
      <c r="F82" s="42" t="s">
        <v>749</v>
      </c>
      <c r="G82" s="26"/>
    </row>
    <row r="83" spans="2:7" s="10" customFormat="1" ht="12.75">
      <c r="B83" s="38" t="s">
        <v>752</v>
      </c>
      <c r="C83" s="39">
        <v>4</v>
      </c>
      <c r="D83" s="40">
        <v>3113</v>
      </c>
      <c r="E83" s="41">
        <v>6121</v>
      </c>
      <c r="F83" s="42" t="s">
        <v>749</v>
      </c>
      <c r="G83" s="26"/>
    </row>
    <row r="84" spans="2:7" s="10" customFormat="1" ht="12" customHeight="1">
      <c r="B84" s="43" t="s">
        <v>753</v>
      </c>
      <c r="C84" s="39">
        <v>1</v>
      </c>
      <c r="D84" s="40">
        <v>2219</v>
      </c>
      <c r="E84" s="41">
        <v>6121</v>
      </c>
      <c r="F84" s="42" t="s">
        <v>749</v>
      </c>
      <c r="G84" s="26"/>
    </row>
    <row r="85" spans="2:6" s="10" customFormat="1" ht="12.75">
      <c r="B85" s="38" t="s">
        <v>754</v>
      </c>
      <c r="C85" s="39">
        <v>3</v>
      </c>
      <c r="D85" s="40">
        <v>2221</v>
      </c>
      <c r="E85" s="41">
        <v>5171</v>
      </c>
      <c r="F85" s="42" t="s">
        <v>749</v>
      </c>
    </row>
    <row r="86" spans="2:6" s="10" customFormat="1" ht="12.75">
      <c r="B86" s="38" t="s">
        <v>755</v>
      </c>
      <c r="C86" s="39">
        <v>3</v>
      </c>
      <c r="D86" s="40">
        <v>2310</v>
      </c>
      <c r="E86" s="41">
        <v>6121</v>
      </c>
      <c r="F86" s="42" t="s">
        <v>749</v>
      </c>
    </row>
    <row r="87" spans="2:7" s="10" customFormat="1" ht="12.75">
      <c r="B87" s="44" t="s">
        <v>756</v>
      </c>
      <c r="C87" s="45">
        <v>1</v>
      </c>
      <c r="D87" s="46">
        <v>3631</v>
      </c>
      <c r="E87" s="46">
        <v>6121</v>
      </c>
      <c r="F87" s="42" t="s">
        <v>749</v>
      </c>
      <c r="G87" s="36"/>
    </row>
    <row r="88" spans="2:7" s="10" customFormat="1" ht="12.75">
      <c r="B88" s="44" t="s">
        <v>757</v>
      </c>
      <c r="C88" s="45"/>
      <c r="D88" s="46"/>
      <c r="E88" s="46"/>
      <c r="F88" s="42" t="s">
        <v>749</v>
      </c>
      <c r="G88" s="36"/>
    </row>
    <row r="89" spans="2:7" s="10" customFormat="1" ht="12.75">
      <c r="B89" s="38" t="s">
        <v>758</v>
      </c>
      <c r="C89" s="47"/>
      <c r="D89" s="46"/>
      <c r="E89" s="46"/>
      <c r="F89" s="42" t="s">
        <v>749</v>
      </c>
      <c r="G89" s="36"/>
    </row>
    <row r="90" spans="2:7" s="10" customFormat="1" ht="12.75">
      <c r="B90" s="38" t="s">
        <v>759</v>
      </c>
      <c r="C90" s="47"/>
      <c r="D90" s="46"/>
      <c r="E90" s="46"/>
      <c r="F90" s="42" t="s">
        <v>749</v>
      </c>
      <c r="G90" s="36"/>
    </row>
    <row r="91" spans="2:7" s="10" customFormat="1" ht="12.75">
      <c r="B91" s="38" t="s">
        <v>760</v>
      </c>
      <c r="C91" s="5"/>
      <c r="D91" s="48"/>
      <c r="E91" s="49"/>
      <c r="F91" s="42" t="s">
        <v>749</v>
      </c>
      <c r="G91" s="36"/>
    </row>
    <row r="92" spans="2:7" s="10" customFormat="1" ht="15" customHeight="1">
      <c r="B92" s="38" t="s">
        <v>761</v>
      </c>
      <c r="C92" s="50"/>
      <c r="D92" s="48"/>
      <c r="E92" s="49"/>
      <c r="F92" s="42" t="s">
        <v>749</v>
      </c>
      <c r="G92" s="36"/>
    </row>
    <row r="93" spans="2:6" s="10" customFormat="1" ht="12.75">
      <c r="B93" s="38" t="s">
        <v>762</v>
      </c>
      <c r="C93" s="51"/>
      <c r="D93" s="52"/>
      <c r="E93" s="53"/>
      <c r="F93" s="42" t="s">
        <v>749</v>
      </c>
    </row>
    <row r="94" spans="2:6" s="10" customFormat="1" ht="12.75">
      <c r="B94" s="38" t="s">
        <v>763</v>
      </c>
      <c r="C94" s="50"/>
      <c r="D94" s="32"/>
      <c r="E94" s="33"/>
      <c r="F94" s="42" t="s">
        <v>749</v>
      </c>
    </row>
    <row r="95" spans="2:6" s="10" customFormat="1" ht="12.75">
      <c r="B95" s="38" t="s">
        <v>764</v>
      </c>
      <c r="C95" s="51"/>
      <c r="D95" s="32"/>
      <c r="E95" s="33"/>
      <c r="F95" s="42" t="s">
        <v>749</v>
      </c>
    </row>
    <row r="96" spans="2:6" s="10" customFormat="1" ht="12.75">
      <c r="B96" s="38" t="s">
        <v>765</v>
      </c>
      <c r="C96" s="50"/>
      <c r="D96" s="32"/>
      <c r="E96" s="33"/>
      <c r="F96" s="42" t="s">
        <v>749</v>
      </c>
    </row>
    <row r="97" spans="2:6" s="10" customFormat="1" ht="14.25" customHeight="1">
      <c r="B97" s="43" t="s">
        <v>766</v>
      </c>
      <c r="C97" s="51"/>
      <c r="D97" s="32"/>
      <c r="E97" s="33"/>
      <c r="F97" s="42" t="s">
        <v>749</v>
      </c>
    </row>
    <row r="98" spans="2:6" s="10" customFormat="1" ht="12.75">
      <c r="B98" s="43" t="s">
        <v>767</v>
      </c>
      <c r="C98" s="50"/>
      <c r="D98" s="32"/>
      <c r="E98" s="33"/>
      <c r="F98" s="42" t="s">
        <v>749</v>
      </c>
    </row>
    <row r="99" spans="2:6" s="10" customFormat="1" ht="12.75">
      <c r="B99" s="43" t="s">
        <v>768</v>
      </c>
      <c r="C99" s="51"/>
      <c r="D99" s="32"/>
      <c r="E99" s="33"/>
      <c r="F99" s="42" t="s">
        <v>749</v>
      </c>
    </row>
    <row r="100" spans="2:6" s="10" customFormat="1" ht="12.75">
      <c r="B100" s="38" t="s">
        <v>769</v>
      </c>
      <c r="C100" s="50"/>
      <c r="D100" s="32"/>
      <c r="E100" s="33"/>
      <c r="F100" s="42" t="s">
        <v>749</v>
      </c>
    </row>
    <row r="101" spans="2:6" s="10" customFormat="1" ht="12.75">
      <c r="B101" s="38" t="s">
        <v>770</v>
      </c>
      <c r="C101" s="51"/>
      <c r="D101" s="32"/>
      <c r="E101" s="33"/>
      <c r="F101" s="42" t="s">
        <v>749</v>
      </c>
    </row>
    <row r="102" spans="2:6" s="10" customFormat="1" ht="12.75">
      <c r="B102" s="38" t="s">
        <v>771</v>
      </c>
      <c r="C102" s="5"/>
      <c r="D102" s="32"/>
      <c r="E102" s="33"/>
      <c r="F102" s="42" t="s">
        <v>749</v>
      </c>
    </row>
    <row r="103" spans="2:6" s="10" customFormat="1" ht="12.75">
      <c r="B103" s="38" t="s">
        <v>772</v>
      </c>
      <c r="C103" s="54"/>
      <c r="D103" s="55"/>
      <c r="E103" s="56"/>
      <c r="F103" s="42" t="s">
        <v>749</v>
      </c>
    </row>
    <row r="104" spans="2:6" s="10" customFormat="1" ht="25.5">
      <c r="B104" s="43" t="s">
        <v>773</v>
      </c>
      <c r="C104" s="54"/>
      <c r="D104" s="57"/>
      <c r="E104" s="49"/>
      <c r="F104" s="42" t="s">
        <v>749</v>
      </c>
    </row>
    <row r="105" spans="2:6" s="10" customFormat="1" ht="12.75">
      <c r="B105" s="43" t="s">
        <v>774</v>
      </c>
      <c r="C105" s="54"/>
      <c r="D105" s="57"/>
      <c r="E105" s="49"/>
      <c r="F105" s="42" t="s">
        <v>749</v>
      </c>
    </row>
    <row r="106" spans="2:6" s="10" customFormat="1" ht="12.75">
      <c r="B106" s="43" t="s">
        <v>775</v>
      </c>
      <c r="C106" s="54"/>
      <c r="D106" s="57"/>
      <c r="E106" s="49"/>
      <c r="F106" s="42" t="s">
        <v>749</v>
      </c>
    </row>
    <row r="107" spans="2:6" s="10" customFormat="1" ht="12.75">
      <c r="B107" s="43" t="s">
        <v>776</v>
      </c>
      <c r="C107" s="54"/>
      <c r="D107" s="57"/>
      <c r="E107" s="49"/>
      <c r="F107" s="42" t="s">
        <v>749</v>
      </c>
    </row>
    <row r="108" spans="2:6" s="10" customFormat="1" ht="12.75">
      <c r="B108" s="43" t="s">
        <v>777</v>
      </c>
      <c r="C108" s="54"/>
      <c r="D108" s="57"/>
      <c r="E108" s="49"/>
      <c r="F108" s="42" t="s">
        <v>749</v>
      </c>
    </row>
    <row r="109" spans="2:6" s="10" customFormat="1" ht="12.75">
      <c r="B109" s="43" t="s">
        <v>778</v>
      </c>
      <c r="C109" s="54"/>
      <c r="D109" s="57"/>
      <c r="E109" s="49"/>
      <c r="F109" s="42" t="s">
        <v>749</v>
      </c>
    </row>
    <row r="110" spans="2:6" s="10" customFormat="1" ht="13.5" thickBot="1">
      <c r="B110" s="58" t="s">
        <v>779</v>
      </c>
      <c r="C110" s="59"/>
      <c r="D110" s="60"/>
      <c r="E110" s="61"/>
      <c r="F110" s="62" t="s">
        <v>749</v>
      </c>
    </row>
    <row r="111" spans="2:6" ht="12.75">
      <c r="B111" s="63" t="s">
        <v>780</v>
      </c>
      <c r="C111" s="64"/>
      <c r="D111" s="65"/>
      <c r="E111" s="66"/>
      <c r="F111" s="67"/>
    </row>
    <row r="112" spans="2:6" ht="13.5" thickBot="1">
      <c r="B112" s="68"/>
      <c r="C112" s="69"/>
      <c r="D112" s="70"/>
      <c r="E112" s="71"/>
      <c r="F112" s="72"/>
    </row>
  </sheetData>
  <sheetProtection selectLockedCells="1" selectUnlockedCells="1"/>
  <conditionalFormatting sqref="C94 C96 C98 C100 C102:C110 C53:C54 C80:C92 C56:C78 C9:C39">
    <cfRule type="expression" priority="31" dxfId="2" stopIfTrue="1">
      <formula>LEN(TRIM(C9))=0</formula>
    </cfRule>
    <cfRule type="cellIs" priority="32" dxfId="1" operator="equal" stopIfTrue="1">
      <formula>4</formula>
    </cfRule>
    <cfRule type="cellIs" priority="33" dxfId="0" operator="equal" stopIfTrue="1">
      <formula>3</formula>
    </cfRule>
    <cfRule type="cellIs" priority="34" dxfId="15" operator="equal" stopIfTrue="1">
      <formula>2</formula>
    </cfRule>
    <cfRule type="cellIs" priority="35" dxfId="24" operator="equal" stopIfTrue="1">
      <formula>1</formula>
    </cfRule>
  </conditionalFormatting>
  <conditionalFormatting sqref="C2:C5">
    <cfRule type="cellIs" priority="36" dxfId="1" operator="equal" stopIfTrue="1">
      <formula>4</formula>
    </cfRule>
    <cfRule type="cellIs" priority="37" dxfId="0" operator="equal" stopIfTrue="1">
      <formula>3</formula>
    </cfRule>
    <cfRule type="cellIs" priority="38" dxfId="15" operator="equal" stopIfTrue="1">
      <formula>2</formula>
    </cfRule>
    <cfRule type="cellIs" priority="39" dxfId="24" operator="equal" stopIfTrue="1">
      <formula>1</formula>
    </cfRule>
  </conditionalFormatting>
  <conditionalFormatting sqref="C41:C52">
    <cfRule type="expression" priority="26" dxfId="2" stopIfTrue="1">
      <formula>LEN(TRIM(C41))=0</formula>
    </cfRule>
    <cfRule type="cellIs" priority="27" dxfId="1" operator="equal" stopIfTrue="1">
      <formula>4</formula>
    </cfRule>
    <cfRule type="cellIs" priority="28" dxfId="0" operator="equal" stopIfTrue="1">
      <formula>3</formula>
    </cfRule>
    <cfRule type="cellIs" priority="29" dxfId="15" operator="equal" stopIfTrue="1">
      <formula>2</formula>
    </cfRule>
    <cfRule type="cellIs" priority="30" dxfId="24" operator="equal" stopIfTrue="1">
      <formula>1</formula>
    </cfRule>
  </conditionalFormatting>
  <conditionalFormatting sqref="C40">
    <cfRule type="expression" priority="21" dxfId="2" stopIfTrue="1">
      <formula>LEN(TRIM(C40))=0</formula>
    </cfRule>
    <cfRule type="cellIs" priority="22" dxfId="1" operator="equal" stopIfTrue="1">
      <formula>4</formula>
    </cfRule>
    <cfRule type="cellIs" priority="23" dxfId="0" operator="equal" stopIfTrue="1">
      <formula>3</formula>
    </cfRule>
    <cfRule type="cellIs" priority="24" dxfId="15" operator="equal" stopIfTrue="1">
      <formula>2</formula>
    </cfRule>
    <cfRule type="cellIs" priority="25" dxfId="24" operator="equal" stopIfTrue="1">
      <formula>1</formula>
    </cfRule>
  </conditionalFormatting>
  <conditionalFormatting sqref="C79">
    <cfRule type="expression" priority="16" dxfId="2" stopIfTrue="1">
      <formula>LEN(TRIM(C79))=0</formula>
    </cfRule>
    <cfRule type="cellIs" priority="17" dxfId="1" operator="equal" stopIfTrue="1">
      <formula>4</formula>
    </cfRule>
    <cfRule type="cellIs" priority="18" dxfId="0" operator="equal" stopIfTrue="1">
      <formula>3</formula>
    </cfRule>
    <cfRule type="cellIs" priority="19" dxfId="15" operator="equal" stopIfTrue="1">
      <formula>2</formula>
    </cfRule>
    <cfRule type="cellIs" priority="20" dxfId="24" operator="equal" stopIfTrue="1">
      <formula>1</formula>
    </cfRule>
  </conditionalFormatting>
  <conditionalFormatting sqref="C7">
    <cfRule type="expression" priority="11" dxfId="2" stopIfTrue="1">
      <formula>LEN(TRIM(C7))=0</formula>
    </cfRule>
    <cfRule type="cellIs" priority="12" dxfId="1" operator="equal" stopIfTrue="1">
      <formula>4</formula>
    </cfRule>
    <cfRule type="cellIs" priority="13" dxfId="0" operator="equal" stopIfTrue="1">
      <formula>3</formula>
    </cfRule>
    <cfRule type="cellIs" priority="14" dxfId="15" operator="equal" stopIfTrue="1">
      <formula>2</formula>
    </cfRule>
    <cfRule type="cellIs" priority="15" dxfId="24" operator="equal" stopIfTrue="1">
      <formula>1</formula>
    </cfRule>
  </conditionalFormatting>
  <conditionalFormatting sqref="C55">
    <cfRule type="expression" priority="6" dxfId="2" stopIfTrue="1">
      <formula>LEN(TRIM(C55))=0</formula>
    </cfRule>
    <cfRule type="cellIs" priority="7" dxfId="1" operator="equal" stopIfTrue="1">
      <formula>4</formula>
    </cfRule>
    <cfRule type="cellIs" priority="8" dxfId="0" operator="equal" stopIfTrue="1">
      <formula>3</formula>
    </cfRule>
    <cfRule type="cellIs" priority="9" dxfId="15" operator="equal" stopIfTrue="1">
      <formula>2</formula>
    </cfRule>
    <cfRule type="cellIs" priority="10" dxfId="24" operator="equal" stopIfTrue="1">
      <formula>1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Goth Jiří</dc:creator>
  <cp:keywords/>
  <dc:description/>
  <cp:lastModifiedBy>Šnoblová</cp:lastModifiedBy>
  <dcterms:created xsi:type="dcterms:W3CDTF">2001-10-24T13:08:44Z</dcterms:created>
  <dcterms:modified xsi:type="dcterms:W3CDTF">2013-01-14T16:27:28Z</dcterms:modified>
  <cp:category/>
  <cp:version/>
  <cp:contentType/>
  <cp:contentStatus/>
</cp:coreProperties>
</file>